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anygaard\OneDrive - Swinburne University\Documents\Documents\CUT\Projects\CHIA5 - Lord Mayors\Contracting WSEB+Green\SIGMAh 1.1 (Not released)\Locked versions\"/>
    </mc:Choice>
  </mc:AlternateContent>
  <xr:revisionPtr revIDLastSave="0" documentId="13_ncr:1_{0EE36D18-3E82-4733-935F-CE4AF44D06D8}" xr6:coauthVersionLast="47" xr6:coauthVersionMax="47" xr10:uidLastSave="{00000000-0000-0000-0000-000000000000}"/>
  <workbookProtection workbookAlgorithmName="SHA-512" workbookHashValue="h6CVkv6nFreIl9zeLscX9ko29qMAnKK0c+ZNCR0aLWVPUw4Ry4XSoPpd+u22QuUAvNP94e87/sqP0+6EhNgIEg==" workbookSaltValue="F9c+qfl0gfEj/e5DSC+i7Q==" workbookSpinCount="100000" lockStructure="1"/>
  <bookViews>
    <workbookView xWindow="-120" yWindow="-120" windowWidth="29040" windowHeight="15840" xr2:uid="{00000000-000D-0000-FFFF-FFFF00000000}"/>
  </bookViews>
  <sheets>
    <sheet name="Frontpage" sheetId="7" r:id="rId1"/>
    <sheet name="Green+Social Interface" sheetId="1" r:id="rId2"/>
    <sheet name="Summary graphs" sheetId="2" r:id="rId3"/>
    <sheet name="Summary benefits" sheetId="13" r:id="rId4"/>
    <sheet name="Social Infrastructure" sheetId="3" state="hidden" r:id="rId5"/>
    <sheet name="Green Infrastructure" sheetId="8" state="hidden" r:id="rId6"/>
    <sheet name="Energy and carbon" sheetId="9" state="hidden" r:id="rId7"/>
    <sheet name="Pivot table" sheetId="6" state="hidden" r:id="rId8"/>
    <sheet name="Look-ups" sheetId="4" state="hidden" r:id="rId9"/>
    <sheet name="Look-ups_2" sheetId="10" state="hidden" r:id="rId10"/>
    <sheet name="EPiC" sheetId="12" state="hidden" r:id="rId11"/>
  </sheets>
  <definedNames>
    <definedName name="_xlnm._FilterDatabase" localSheetId="9" hidden="1">'Look-ups_2'!$A$117:$J$228</definedName>
    <definedName name="Affordable_area">#REF!</definedName>
    <definedName name="AHIB">#REF!</definedName>
    <definedName name="AHIB_Credits">#REF!</definedName>
    <definedName name="Attached_range">#REF!</definedName>
    <definedName name="Capital_grant">#REF!</definedName>
    <definedName name="Capital_revenue">#REF!</definedName>
    <definedName name="Car_bays">#REF!</definedName>
    <definedName name="Cash_Interest_Rate">#REF!</definedName>
    <definedName name="Commercial_area">#REF!</definedName>
    <definedName name="Commercial_outcome">#REF!</definedName>
    <definedName name="Commercial_rental_revenue">#REF!</definedName>
    <definedName name="Commercial_sale_revenue">#REF!</definedName>
    <definedName name="Construction_cost">#REF!</definedName>
    <definedName name="Construction_Cost_Loading">#REF!</definedName>
    <definedName name="cost_index">#REF!</definedName>
    <definedName name="cost_index_rate">#REF!</definedName>
    <definedName name="cra">#REF!</definedName>
    <definedName name="DA_rate">#REF!</definedName>
    <definedName name="deposit">#REF!</definedName>
    <definedName name="Detached_range">#REF!</definedName>
    <definedName name="devel_interest_lever">#REF!</definedName>
    <definedName name="devel_interest_rate">#REF!</definedName>
    <definedName name="Devel_Time">#REF!</definedName>
    <definedName name="Development_type_SI">#REF!</definedName>
    <definedName name="DevelopmentType">#REF!</definedName>
    <definedName name="Dwellings_affordable_rental">#REF!</definedName>
    <definedName name="Dwellings_est">#REF!</definedName>
    <definedName name="Dwellings_market_rentals">#REF!</definedName>
    <definedName name="Dwellings_total">#REF!</definedName>
    <definedName name="four_bed">#REF!</definedName>
    <definedName name="Infrastructure_contribution">#REF!</definedName>
    <definedName name="Infrastructure_contribution_rate">#REF!</definedName>
    <definedName name="Land_cost">#REF!</definedName>
    <definedName name="Land_equity">#REF!</definedName>
    <definedName name="Land_equity_percent">#REF!</definedName>
    <definedName name="Land_tax">#REF!</definedName>
    <definedName name="Land_Tax_Rate">#REF!</definedName>
    <definedName name="Loan_Term">#REF!</definedName>
    <definedName name="Low_Rise_range">#REF!</definedName>
    <definedName name="Market_area">#REF!</definedName>
    <definedName name="Market_Land_Value">#REF!</definedName>
    <definedName name="Market_rental">#REF!</definedName>
    <definedName name="Market_rental_revenue">#REF!</definedName>
    <definedName name="Market_rental_share">#REF!</definedName>
    <definedName name="Market_sale_revenue">#REF!</definedName>
    <definedName name="Market_sale_share">#REF!</definedName>
    <definedName name="Market_sales">#REF!</definedName>
    <definedName name="Market_Values">#REF!</definedName>
    <definedName name="max_repayment">#REF!</definedName>
    <definedName name="new_devel_interest">#REF!</definedName>
    <definedName name="new_op_interest">#REF!</definedName>
    <definedName name="NHFIC_full_debt">#REF!</definedName>
    <definedName name="NHFIC_with_AHIB">#REF!</definedName>
    <definedName name="NRAS_CHP">#REF!</definedName>
    <definedName name="NRAS_length">#REF!</definedName>
    <definedName name="NRAS_Sale">#REF!</definedName>
    <definedName name="NRAS_type">#REF!</definedName>
    <definedName name="NRAS_value">#REF!</definedName>
    <definedName name="one_bed">#REF!</definedName>
    <definedName name="op_interest_lever">#REF!</definedName>
    <definedName name="op_interest_Rate">#REF!</definedName>
    <definedName name="Parking_Type">#REF!</definedName>
    <definedName name="Planned_Maintenance">#REF!</definedName>
    <definedName name="Planning_bonus">#REF!</definedName>
    <definedName name="property_index">#REF!</definedName>
    <definedName name="property_index_rate">#REF!</definedName>
    <definedName name="Recurrent_afford_revenue">#REF!</definedName>
    <definedName name="Recurrent_market_revenue">#REF!</definedName>
    <definedName name="Region">#REF!</definedName>
    <definedName name="Repairs">#REF!</definedName>
    <definedName name="revenue_index">#REF!</definedName>
    <definedName name="revenue_index_rate">#REF!</definedName>
    <definedName name="Sinking_amount">#REF!</definedName>
    <definedName name="Sinking_delay">#REF!</definedName>
    <definedName name="Sinking_delay_year">#REF!</definedName>
    <definedName name="stages">#REF!</definedName>
    <definedName name="Stamp_duty_rate">#REF!</definedName>
    <definedName name="Studios">#REF!</definedName>
    <definedName name="three_bed">#REF!</definedName>
    <definedName name="two_bed">#REF!</definedName>
    <definedName name="unit_size_SI">#REF!</definedName>
    <definedName name="unitsize">#REF!</definedName>
  </definedNames>
  <calcPr calcId="191029"/>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87" i="3" l="1"/>
  <c r="S115" i="10"/>
  <c r="X115" i="10" s="1"/>
  <c r="W114" i="10"/>
  <c r="AB114" i="10" s="1"/>
  <c r="V114" i="10"/>
  <c r="AA114" i="10" s="1"/>
  <c r="U114" i="10"/>
  <c r="Z114" i="10" s="1"/>
  <c r="T114" i="10"/>
  <c r="Y114" i="10" s="1"/>
  <c r="S114" i="10"/>
  <c r="X114" i="10" s="1"/>
  <c r="S91" i="3" s="1"/>
  <c r="B17" i="4"/>
  <c r="D86" i="8" a="1"/>
  <c r="D86" i="8" s="1"/>
  <c r="D84" i="8"/>
  <c r="C17" i="4"/>
  <c r="G13" i="8"/>
  <c r="G12" i="8"/>
  <c r="G11" i="8"/>
  <c r="G10" i="8"/>
  <c r="G9" i="8"/>
  <c r="G8" i="8"/>
  <c r="G7" i="8"/>
  <c r="H124" i="4"/>
  <c r="H125" i="4"/>
  <c r="H126" i="4"/>
  <c r="H127" i="4"/>
  <c r="H128" i="4"/>
  <c r="H129" i="4"/>
  <c r="H130" i="4"/>
  <c r="H123" i="4"/>
  <c r="D73" i="8"/>
  <c r="C79" i="3"/>
  <c r="C12" i="1"/>
  <c r="S89" i="3" l="1"/>
  <c r="S95" i="3"/>
  <c r="S88" i="3"/>
  <c r="S93" i="3"/>
  <c r="S94" i="3"/>
  <c r="S90" i="3"/>
  <c r="S96" i="3"/>
  <c r="S97" i="3"/>
  <c r="S4" i="4"/>
  <c r="S5" i="4"/>
  <c r="S6" i="4"/>
  <c r="S7" i="4"/>
  <c r="S8" i="4"/>
  <c r="S9" i="4"/>
  <c r="S10" i="4"/>
  <c r="S11" i="4"/>
  <c r="S12" i="4"/>
  <c r="S13" i="4"/>
  <c r="S14" i="4"/>
  <c r="S15" i="4"/>
  <c r="S16" i="4"/>
  <c r="S17" i="4"/>
  <c r="S18" i="4"/>
  <c r="S19" i="4"/>
  <c r="S20" i="4"/>
  <c r="S21" i="4"/>
  <c r="S22" i="4"/>
  <c r="S23" i="4"/>
  <c r="S24" i="4"/>
  <c r="S25" i="4"/>
  <c r="S26" i="4"/>
  <c r="S27" i="4"/>
  <c r="S28" i="4"/>
  <c r="S29" i="4"/>
  <c r="S30" i="4"/>
  <c r="S31" i="4"/>
  <c r="S32" i="4"/>
  <c r="S33" i="4"/>
  <c r="S34" i="4"/>
  <c r="S3" i="4"/>
  <c r="Q103" i="3"/>
  <c r="AG35" i="4"/>
  <c r="AG34" i="4"/>
  <c r="AG33" i="4"/>
  <c r="AG32" i="4"/>
  <c r="AG31" i="4"/>
  <c r="AG30" i="4"/>
  <c r="AG29" i="4"/>
  <c r="AG28" i="4"/>
  <c r="AG27" i="4"/>
  <c r="AG26" i="4"/>
  <c r="AG25" i="4"/>
  <c r="AG24" i="4"/>
  <c r="AG23" i="4"/>
  <c r="AG22" i="4"/>
  <c r="AG21" i="4"/>
  <c r="AG20" i="4"/>
  <c r="AG19" i="4"/>
  <c r="AG18" i="4"/>
  <c r="AG17" i="4"/>
  <c r="AG16" i="4"/>
  <c r="AG15" i="4"/>
  <c r="AG14" i="4"/>
  <c r="AG13" i="4"/>
  <c r="AG12" i="4"/>
  <c r="AG11" i="4"/>
  <c r="AG10" i="4"/>
  <c r="AG9" i="4"/>
  <c r="AG8" i="4"/>
  <c r="AG7" i="4"/>
  <c r="AG6" i="4"/>
  <c r="AG5" i="4"/>
  <c r="AG4" i="4"/>
  <c r="AF35" i="4"/>
  <c r="AF34" i="4"/>
  <c r="AF33" i="4"/>
  <c r="AF32" i="4"/>
  <c r="AF31" i="4"/>
  <c r="AF30" i="4"/>
  <c r="AF29" i="4"/>
  <c r="AF28" i="4"/>
  <c r="AF27" i="4"/>
  <c r="AF26" i="4"/>
  <c r="AF25" i="4"/>
  <c r="AF24" i="4"/>
  <c r="AF23" i="4"/>
  <c r="AF22" i="4"/>
  <c r="AF21" i="4"/>
  <c r="AF20" i="4"/>
  <c r="AF19" i="4"/>
  <c r="AF18" i="4"/>
  <c r="AF17" i="4"/>
  <c r="AF16" i="4"/>
  <c r="AF15" i="4"/>
  <c r="AF14" i="4"/>
  <c r="AF13" i="4"/>
  <c r="AF12" i="4"/>
  <c r="AF11" i="4"/>
  <c r="AF10" i="4"/>
  <c r="AF9" i="4"/>
  <c r="AF8" i="4"/>
  <c r="AF7" i="4"/>
  <c r="AF6" i="4"/>
  <c r="AF5" i="4"/>
  <c r="AF4" i="4"/>
  <c r="AE35" i="4"/>
  <c r="AE34" i="4"/>
  <c r="AE33" i="4"/>
  <c r="AE32" i="4"/>
  <c r="AE31" i="4"/>
  <c r="AE30" i="4"/>
  <c r="AE29" i="4"/>
  <c r="AE28" i="4"/>
  <c r="AE27" i="4"/>
  <c r="AE26" i="4"/>
  <c r="AE25" i="4"/>
  <c r="AE24" i="4"/>
  <c r="AE23" i="4"/>
  <c r="AE22" i="4"/>
  <c r="AE21" i="4"/>
  <c r="AE20" i="4"/>
  <c r="AE19" i="4"/>
  <c r="AE18" i="4"/>
  <c r="AE17" i="4"/>
  <c r="AE16" i="4"/>
  <c r="AE15" i="4"/>
  <c r="AE14" i="4"/>
  <c r="AE13" i="4"/>
  <c r="AE12" i="4"/>
  <c r="AE11" i="4"/>
  <c r="AE10" i="4"/>
  <c r="AE9" i="4"/>
  <c r="AE8" i="4"/>
  <c r="AE7" i="4"/>
  <c r="AE6" i="4"/>
  <c r="AE5" i="4"/>
  <c r="AE4" i="4"/>
  <c r="AD35" i="4"/>
  <c r="AD34" i="4"/>
  <c r="AD33" i="4"/>
  <c r="AD32" i="4"/>
  <c r="AD31" i="4"/>
  <c r="AD30" i="4"/>
  <c r="AD29" i="4"/>
  <c r="AD28" i="4"/>
  <c r="AD27" i="4"/>
  <c r="AD26" i="4"/>
  <c r="AD25" i="4"/>
  <c r="AD24" i="4"/>
  <c r="AD23" i="4"/>
  <c r="AD22" i="4"/>
  <c r="AD21" i="4"/>
  <c r="AD20" i="4"/>
  <c r="AD19" i="4"/>
  <c r="AD18" i="4"/>
  <c r="AD17" i="4"/>
  <c r="AD16" i="4"/>
  <c r="AD15" i="4"/>
  <c r="AD14" i="4"/>
  <c r="AD13" i="4"/>
  <c r="AD12" i="4"/>
  <c r="AD11" i="4"/>
  <c r="AD10" i="4"/>
  <c r="AD9" i="4"/>
  <c r="AD8" i="4"/>
  <c r="AD7" i="4"/>
  <c r="AD6" i="4"/>
  <c r="AD5" i="4"/>
  <c r="AD4" i="4"/>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10" i="4"/>
  <c r="AC9" i="4"/>
  <c r="AC8" i="4"/>
  <c r="AC7" i="4"/>
  <c r="AC6" i="4"/>
  <c r="AC5" i="4"/>
  <c r="AC4" i="4"/>
  <c r="C18" i="4"/>
  <c r="C19" i="4" s="1"/>
  <c r="C20" i="4" s="1"/>
  <c r="C21" i="4" s="1"/>
  <c r="C22" i="4" s="1"/>
  <c r="C23" i="4" s="1"/>
  <c r="C24" i="4" s="1"/>
  <c r="C25" i="4" s="1"/>
  <c r="C26" i="4" s="1"/>
  <c r="C27" i="4" s="1"/>
  <c r="C28" i="4" s="1"/>
  <c r="C29" i="4" s="1"/>
  <c r="C30" i="4" s="1"/>
  <c r="C31" i="4" s="1"/>
  <c r="C32" i="4" s="1"/>
  <c r="C33" i="4" s="1"/>
  <c r="C34" i="4" s="1"/>
  <c r="C35" i="4" s="1"/>
  <c r="C36" i="4" s="1"/>
  <c r="C37" i="4" s="1"/>
  <c r="C38" i="4" s="1"/>
  <c r="C39" i="4" s="1"/>
  <c r="C40" i="4" s="1"/>
  <c r="C41" i="4" s="1"/>
  <c r="C42" i="4" s="1"/>
  <c r="C43" i="4" s="1"/>
  <c r="B18" i="4"/>
  <c r="B19" i="4" s="1"/>
  <c r="B20" i="4" s="1"/>
  <c r="B21" i="4" s="1"/>
  <c r="B22" i="4" s="1"/>
  <c r="B23" i="4" s="1"/>
  <c r="B24" i="4" s="1"/>
  <c r="B25" i="4" s="1"/>
  <c r="B26" i="4" s="1"/>
  <c r="B27" i="4" s="1"/>
  <c r="B28" i="4" s="1"/>
  <c r="B29" i="4" s="1"/>
  <c r="B30" i="4" s="1"/>
  <c r="B31" i="4" s="1"/>
  <c r="B32" i="4" s="1"/>
  <c r="B33" i="4" s="1"/>
  <c r="B34" i="4" s="1"/>
  <c r="B35" i="4" s="1"/>
  <c r="B36" i="4" s="1"/>
  <c r="B37" i="4" s="1"/>
  <c r="B38" i="4" s="1"/>
  <c r="B39" i="4" s="1"/>
  <c r="B40" i="4" s="1"/>
  <c r="B41" i="4" s="1"/>
  <c r="B42" i="4" s="1"/>
  <c r="B43" i="4" s="1"/>
  <c r="H143" i="3" a="1"/>
  <c r="H143" i="3" s="1"/>
  <c r="H142" i="3" a="1"/>
  <c r="H142" i="3" s="1"/>
  <c r="H137" i="3" l="1"/>
  <c r="H18" i="3" s="1"/>
  <c r="H136" i="3"/>
  <c r="H29" i="3" l="1"/>
  <c r="H24" i="3"/>
  <c r="H28" i="3"/>
  <c r="H26" i="3"/>
  <c r="H25" i="3"/>
  <c r="H32" i="3"/>
  <c r="H31" i="3"/>
  <c r="H30" i="3"/>
  <c r="H23" i="3"/>
  <c r="H27" i="3"/>
  <c r="H17" i="3"/>
  <c r="H22" i="3"/>
  <c r="H21" i="3"/>
  <c r="H20" i="3"/>
  <c r="H19" i="3"/>
  <c r="H16" i="3"/>
  <c r="H15" i="3"/>
  <c r="H14" i="3"/>
  <c r="H13" i="3"/>
  <c r="D104" i="3"/>
  <c r="D108" i="3" s="1"/>
  <c r="I11" i="3" l="1"/>
  <c r="D78" i="8" l="1"/>
  <c r="H7" i="3" l="1"/>
  <c r="H8" i="3"/>
  <c r="H9" i="3"/>
  <c r="H10" i="3"/>
  <c r="AI112" i="10" l="1"/>
  <c r="AH112" i="10"/>
  <c r="C119" i="10"/>
  <c r="D119" i="10"/>
  <c r="E119" i="10"/>
  <c r="F119" i="10"/>
  <c r="G119" i="10"/>
  <c r="H119" i="10"/>
  <c r="I119" i="10"/>
  <c r="C120" i="10"/>
  <c r="D120" i="10"/>
  <c r="E120" i="10"/>
  <c r="F120" i="10"/>
  <c r="G120" i="10"/>
  <c r="H120" i="10"/>
  <c r="I120" i="10"/>
  <c r="C121" i="10"/>
  <c r="D121" i="10"/>
  <c r="E121" i="10"/>
  <c r="F121" i="10"/>
  <c r="G121" i="10"/>
  <c r="H121" i="10"/>
  <c r="I121" i="10"/>
  <c r="C122" i="10"/>
  <c r="D122" i="10"/>
  <c r="E122" i="10"/>
  <c r="F122" i="10"/>
  <c r="G122" i="10"/>
  <c r="H122" i="10"/>
  <c r="I122" i="10"/>
  <c r="C123" i="10"/>
  <c r="D123" i="10"/>
  <c r="E123" i="10"/>
  <c r="F123" i="10"/>
  <c r="G123" i="10"/>
  <c r="H123" i="10"/>
  <c r="I123" i="10"/>
  <c r="C124" i="10"/>
  <c r="D124" i="10"/>
  <c r="E124" i="10"/>
  <c r="F124" i="10"/>
  <c r="G124" i="10"/>
  <c r="H124" i="10"/>
  <c r="I124" i="10"/>
  <c r="C125" i="10"/>
  <c r="D125" i="10"/>
  <c r="E125" i="10"/>
  <c r="F125" i="10"/>
  <c r="G125" i="10"/>
  <c r="H125" i="10"/>
  <c r="I125" i="10"/>
  <c r="C126" i="10"/>
  <c r="D126" i="10"/>
  <c r="E126" i="10"/>
  <c r="F126" i="10"/>
  <c r="G126" i="10"/>
  <c r="H126" i="10"/>
  <c r="I126" i="10"/>
  <c r="C127" i="10"/>
  <c r="D127" i="10"/>
  <c r="E127" i="10"/>
  <c r="F127" i="10"/>
  <c r="G127" i="10"/>
  <c r="H127" i="10"/>
  <c r="I127" i="10"/>
  <c r="C128" i="10"/>
  <c r="D128" i="10"/>
  <c r="E128" i="10"/>
  <c r="F128" i="10"/>
  <c r="G128" i="10"/>
  <c r="H128" i="10"/>
  <c r="I128" i="10"/>
  <c r="C129" i="10"/>
  <c r="D129" i="10"/>
  <c r="E129" i="10"/>
  <c r="F129" i="10"/>
  <c r="G129" i="10"/>
  <c r="H129" i="10"/>
  <c r="I129" i="10"/>
  <c r="C130" i="10"/>
  <c r="D130" i="10"/>
  <c r="E130" i="10"/>
  <c r="F130" i="10"/>
  <c r="G130" i="10"/>
  <c r="H130" i="10"/>
  <c r="I130" i="10"/>
  <c r="C131" i="10"/>
  <c r="D131" i="10"/>
  <c r="E131" i="10"/>
  <c r="F131" i="10"/>
  <c r="G131" i="10"/>
  <c r="H131" i="10"/>
  <c r="I131" i="10"/>
  <c r="C132" i="10"/>
  <c r="D132" i="10"/>
  <c r="E132" i="10"/>
  <c r="F132" i="10"/>
  <c r="G132" i="10"/>
  <c r="H132" i="10"/>
  <c r="I132" i="10"/>
  <c r="C133" i="10"/>
  <c r="D133" i="10"/>
  <c r="E133" i="10"/>
  <c r="F133" i="10"/>
  <c r="G133" i="10"/>
  <c r="H133" i="10"/>
  <c r="I133" i="10"/>
  <c r="C134" i="10"/>
  <c r="D134" i="10"/>
  <c r="E134" i="10"/>
  <c r="F134" i="10"/>
  <c r="G134" i="10"/>
  <c r="H134" i="10"/>
  <c r="I134" i="10"/>
  <c r="C135" i="10"/>
  <c r="D135" i="10"/>
  <c r="E135" i="10"/>
  <c r="F135" i="10"/>
  <c r="G135" i="10"/>
  <c r="H135" i="10"/>
  <c r="I135" i="10"/>
  <c r="C136" i="10"/>
  <c r="D136" i="10"/>
  <c r="E136" i="10"/>
  <c r="F136" i="10"/>
  <c r="G136" i="10"/>
  <c r="H136" i="10"/>
  <c r="I136" i="10"/>
  <c r="C137" i="10"/>
  <c r="D137" i="10"/>
  <c r="E137" i="10"/>
  <c r="F137" i="10"/>
  <c r="G137" i="10"/>
  <c r="H137" i="10"/>
  <c r="I137" i="10"/>
  <c r="C138" i="10"/>
  <c r="D138" i="10"/>
  <c r="E138" i="10"/>
  <c r="F138" i="10"/>
  <c r="G138" i="10"/>
  <c r="H138" i="10"/>
  <c r="I138" i="10"/>
  <c r="C139" i="10"/>
  <c r="D139" i="10"/>
  <c r="E139" i="10"/>
  <c r="F139" i="10"/>
  <c r="G139" i="10"/>
  <c r="H139" i="10"/>
  <c r="I139" i="10"/>
  <c r="C140" i="10"/>
  <c r="D140" i="10"/>
  <c r="E140" i="10"/>
  <c r="F140" i="10"/>
  <c r="G140" i="10"/>
  <c r="H140" i="10"/>
  <c r="I140" i="10"/>
  <c r="C141" i="10"/>
  <c r="D141" i="10"/>
  <c r="E141" i="10"/>
  <c r="F141" i="10"/>
  <c r="G141" i="10"/>
  <c r="H141" i="10"/>
  <c r="I141" i="10"/>
  <c r="C142" i="10"/>
  <c r="D142" i="10"/>
  <c r="E142" i="10"/>
  <c r="F142" i="10"/>
  <c r="G142" i="10"/>
  <c r="H142" i="10"/>
  <c r="I142" i="10"/>
  <c r="C143" i="10"/>
  <c r="D143" i="10"/>
  <c r="E143" i="10"/>
  <c r="F143" i="10"/>
  <c r="G143" i="10"/>
  <c r="H143" i="10"/>
  <c r="I143" i="10"/>
  <c r="C144" i="10"/>
  <c r="D144" i="10"/>
  <c r="E144" i="10"/>
  <c r="F144" i="10"/>
  <c r="G144" i="10"/>
  <c r="H144" i="10"/>
  <c r="I144" i="10"/>
  <c r="C145" i="10"/>
  <c r="D145" i="10"/>
  <c r="E145" i="10"/>
  <c r="F145" i="10"/>
  <c r="G145" i="10"/>
  <c r="H145" i="10"/>
  <c r="I145" i="10"/>
  <c r="C146" i="10"/>
  <c r="D146" i="10"/>
  <c r="E146" i="10"/>
  <c r="F146" i="10"/>
  <c r="G146" i="10"/>
  <c r="H146" i="10"/>
  <c r="I146" i="10"/>
  <c r="C147" i="10"/>
  <c r="D147" i="10"/>
  <c r="E147" i="10"/>
  <c r="F147" i="10"/>
  <c r="G147" i="10"/>
  <c r="H147" i="10"/>
  <c r="I147" i="10"/>
  <c r="C148" i="10"/>
  <c r="D148" i="10"/>
  <c r="E148" i="10"/>
  <c r="F148" i="10"/>
  <c r="G148" i="10"/>
  <c r="H148" i="10"/>
  <c r="I148" i="10"/>
  <c r="C149" i="10"/>
  <c r="D149" i="10"/>
  <c r="E149" i="10"/>
  <c r="F149" i="10"/>
  <c r="G149" i="10"/>
  <c r="H149" i="10"/>
  <c r="I149" i="10"/>
  <c r="C150" i="10"/>
  <c r="D150" i="10"/>
  <c r="E150" i="10"/>
  <c r="F150" i="10"/>
  <c r="G150" i="10"/>
  <c r="H150" i="10"/>
  <c r="I150" i="10"/>
  <c r="C151" i="10"/>
  <c r="D151" i="10"/>
  <c r="E151" i="10"/>
  <c r="F151" i="10"/>
  <c r="G151" i="10"/>
  <c r="H151" i="10"/>
  <c r="I151" i="10"/>
  <c r="C152" i="10"/>
  <c r="D152" i="10"/>
  <c r="E152" i="10"/>
  <c r="F152" i="10"/>
  <c r="G152" i="10"/>
  <c r="H152" i="10"/>
  <c r="I152" i="10"/>
  <c r="C153" i="10"/>
  <c r="D153" i="10"/>
  <c r="E153" i="10"/>
  <c r="F153" i="10"/>
  <c r="G153" i="10"/>
  <c r="H153" i="10"/>
  <c r="I153" i="10"/>
  <c r="C154" i="10"/>
  <c r="D154" i="10"/>
  <c r="E154" i="10"/>
  <c r="F154" i="10"/>
  <c r="G154" i="10"/>
  <c r="H154" i="10"/>
  <c r="I154" i="10"/>
  <c r="C155" i="10"/>
  <c r="D155" i="10"/>
  <c r="E155" i="10"/>
  <c r="F155" i="10"/>
  <c r="G155" i="10"/>
  <c r="H155" i="10"/>
  <c r="I155" i="10"/>
  <c r="C156" i="10"/>
  <c r="D156" i="10"/>
  <c r="E156" i="10"/>
  <c r="F156" i="10"/>
  <c r="G156" i="10"/>
  <c r="H156" i="10"/>
  <c r="I156" i="10"/>
  <c r="C157" i="10"/>
  <c r="D157" i="10"/>
  <c r="E157" i="10"/>
  <c r="F157" i="10"/>
  <c r="G157" i="10"/>
  <c r="H157" i="10"/>
  <c r="I157" i="10"/>
  <c r="C158" i="10"/>
  <c r="D158" i="10"/>
  <c r="E158" i="10"/>
  <c r="F158" i="10"/>
  <c r="G158" i="10"/>
  <c r="H158" i="10"/>
  <c r="I158" i="10"/>
  <c r="C159" i="10"/>
  <c r="D159" i="10"/>
  <c r="E159" i="10"/>
  <c r="F159" i="10"/>
  <c r="G159" i="10"/>
  <c r="H159" i="10"/>
  <c r="I159" i="10"/>
  <c r="C160" i="10"/>
  <c r="D160" i="10"/>
  <c r="E160" i="10"/>
  <c r="F160" i="10"/>
  <c r="G160" i="10"/>
  <c r="H160" i="10"/>
  <c r="I160" i="10"/>
  <c r="C161" i="10"/>
  <c r="D161" i="10"/>
  <c r="E161" i="10"/>
  <c r="F161" i="10"/>
  <c r="G161" i="10"/>
  <c r="H161" i="10"/>
  <c r="I161" i="10"/>
  <c r="C162" i="10"/>
  <c r="D162" i="10"/>
  <c r="E162" i="10"/>
  <c r="F162" i="10"/>
  <c r="G162" i="10"/>
  <c r="H162" i="10"/>
  <c r="I162" i="10"/>
  <c r="C163" i="10"/>
  <c r="D163" i="10"/>
  <c r="E163" i="10"/>
  <c r="F163" i="10"/>
  <c r="G163" i="10"/>
  <c r="H163" i="10"/>
  <c r="I163" i="10"/>
  <c r="C164" i="10"/>
  <c r="D164" i="10"/>
  <c r="E164" i="10"/>
  <c r="F164" i="10"/>
  <c r="G164" i="10"/>
  <c r="H164" i="10"/>
  <c r="I164" i="10"/>
  <c r="C165" i="10"/>
  <c r="D165" i="10"/>
  <c r="E165" i="10"/>
  <c r="F165" i="10"/>
  <c r="G165" i="10"/>
  <c r="H165" i="10"/>
  <c r="I165" i="10"/>
  <c r="C166" i="10"/>
  <c r="D166" i="10"/>
  <c r="E166" i="10"/>
  <c r="F166" i="10"/>
  <c r="G166" i="10"/>
  <c r="H166" i="10"/>
  <c r="I166" i="10"/>
  <c r="C167" i="10"/>
  <c r="D167" i="10"/>
  <c r="E167" i="10"/>
  <c r="F167" i="10"/>
  <c r="G167" i="10"/>
  <c r="H167" i="10"/>
  <c r="I167" i="10"/>
  <c r="C168" i="10"/>
  <c r="D168" i="10"/>
  <c r="E168" i="10"/>
  <c r="F168" i="10"/>
  <c r="G168" i="10"/>
  <c r="H168" i="10"/>
  <c r="I168" i="10"/>
  <c r="C169" i="10"/>
  <c r="D169" i="10"/>
  <c r="E169" i="10"/>
  <c r="F169" i="10"/>
  <c r="G169" i="10"/>
  <c r="H169" i="10"/>
  <c r="I169" i="10"/>
  <c r="C170" i="10"/>
  <c r="D170" i="10"/>
  <c r="E170" i="10"/>
  <c r="F170" i="10"/>
  <c r="G170" i="10"/>
  <c r="H170" i="10"/>
  <c r="I170" i="10"/>
  <c r="C171" i="10"/>
  <c r="D171" i="10"/>
  <c r="E171" i="10"/>
  <c r="F171" i="10"/>
  <c r="G171" i="10"/>
  <c r="H171" i="10"/>
  <c r="I171" i="10"/>
  <c r="C172" i="10"/>
  <c r="D172" i="10"/>
  <c r="E172" i="10"/>
  <c r="F172" i="10"/>
  <c r="G172" i="10"/>
  <c r="H172" i="10"/>
  <c r="I172" i="10"/>
  <c r="C173" i="10"/>
  <c r="D173" i="10"/>
  <c r="E173" i="10"/>
  <c r="F173" i="10"/>
  <c r="G173" i="10"/>
  <c r="H173" i="10"/>
  <c r="I173" i="10"/>
  <c r="C174" i="10"/>
  <c r="D174" i="10"/>
  <c r="E174" i="10"/>
  <c r="F174" i="10"/>
  <c r="G174" i="10"/>
  <c r="H174" i="10"/>
  <c r="I174" i="10"/>
  <c r="C175" i="10"/>
  <c r="D175" i="10"/>
  <c r="E175" i="10"/>
  <c r="F175" i="10"/>
  <c r="G175" i="10"/>
  <c r="H175" i="10"/>
  <c r="I175" i="10"/>
  <c r="C176" i="10"/>
  <c r="D176" i="10"/>
  <c r="E176" i="10"/>
  <c r="F176" i="10"/>
  <c r="G176" i="10"/>
  <c r="H176" i="10"/>
  <c r="I176" i="10"/>
  <c r="C177" i="10"/>
  <c r="D177" i="10"/>
  <c r="E177" i="10"/>
  <c r="F177" i="10"/>
  <c r="G177" i="10"/>
  <c r="H177" i="10"/>
  <c r="I177" i="10"/>
  <c r="C178" i="10"/>
  <c r="D178" i="10"/>
  <c r="E178" i="10"/>
  <c r="F178" i="10"/>
  <c r="G178" i="10"/>
  <c r="H178" i="10"/>
  <c r="I178" i="10"/>
  <c r="C179" i="10"/>
  <c r="D179" i="10"/>
  <c r="E179" i="10"/>
  <c r="F179" i="10"/>
  <c r="G179" i="10"/>
  <c r="H179" i="10"/>
  <c r="I179" i="10"/>
  <c r="C180" i="10"/>
  <c r="D180" i="10"/>
  <c r="E180" i="10"/>
  <c r="F180" i="10"/>
  <c r="G180" i="10"/>
  <c r="H180" i="10"/>
  <c r="I180" i="10"/>
  <c r="C181" i="10"/>
  <c r="D181" i="10"/>
  <c r="E181" i="10"/>
  <c r="F181" i="10"/>
  <c r="G181" i="10"/>
  <c r="H181" i="10"/>
  <c r="I181" i="10"/>
  <c r="C182" i="10"/>
  <c r="D182" i="10"/>
  <c r="E182" i="10"/>
  <c r="F182" i="10"/>
  <c r="G182" i="10"/>
  <c r="H182" i="10"/>
  <c r="I182" i="10"/>
  <c r="C183" i="10"/>
  <c r="D183" i="10"/>
  <c r="E183" i="10"/>
  <c r="F183" i="10"/>
  <c r="G183" i="10"/>
  <c r="H183" i="10"/>
  <c r="I183" i="10"/>
  <c r="C184" i="10"/>
  <c r="D184" i="10"/>
  <c r="E184" i="10"/>
  <c r="F184" i="10"/>
  <c r="G184" i="10"/>
  <c r="H184" i="10"/>
  <c r="I184" i="10"/>
  <c r="C185" i="10"/>
  <c r="D185" i="10"/>
  <c r="E185" i="10"/>
  <c r="F185" i="10"/>
  <c r="G185" i="10"/>
  <c r="H185" i="10"/>
  <c r="I185" i="10"/>
  <c r="C186" i="10"/>
  <c r="D186" i="10"/>
  <c r="E186" i="10"/>
  <c r="F186" i="10"/>
  <c r="G186" i="10"/>
  <c r="H186" i="10"/>
  <c r="I186" i="10"/>
  <c r="C187" i="10"/>
  <c r="D187" i="10"/>
  <c r="E187" i="10"/>
  <c r="F187" i="10"/>
  <c r="G187" i="10"/>
  <c r="H187" i="10"/>
  <c r="I187" i="10"/>
  <c r="C188" i="10"/>
  <c r="D188" i="10"/>
  <c r="E188" i="10"/>
  <c r="F188" i="10"/>
  <c r="G188" i="10"/>
  <c r="H188" i="10"/>
  <c r="I188" i="10"/>
  <c r="C189" i="10"/>
  <c r="D189" i="10"/>
  <c r="E189" i="10"/>
  <c r="F189" i="10"/>
  <c r="G189" i="10"/>
  <c r="H189" i="10"/>
  <c r="I189" i="10"/>
  <c r="C190" i="10"/>
  <c r="D190" i="10"/>
  <c r="E190" i="10"/>
  <c r="F190" i="10"/>
  <c r="G190" i="10"/>
  <c r="H190" i="10"/>
  <c r="I190" i="10"/>
  <c r="C191" i="10"/>
  <c r="D191" i="10"/>
  <c r="E191" i="10"/>
  <c r="F191" i="10"/>
  <c r="G191" i="10"/>
  <c r="H191" i="10"/>
  <c r="I191" i="10"/>
  <c r="C192" i="10"/>
  <c r="D192" i="10"/>
  <c r="E192" i="10"/>
  <c r="F192" i="10"/>
  <c r="G192" i="10"/>
  <c r="H192" i="10"/>
  <c r="I192" i="10"/>
  <c r="C193" i="10"/>
  <c r="D193" i="10"/>
  <c r="E193" i="10"/>
  <c r="F193" i="10"/>
  <c r="G193" i="10"/>
  <c r="H193" i="10"/>
  <c r="I193" i="10"/>
  <c r="C194" i="10"/>
  <c r="D194" i="10"/>
  <c r="E194" i="10"/>
  <c r="F194" i="10"/>
  <c r="G194" i="10"/>
  <c r="H194" i="10"/>
  <c r="I194" i="10"/>
  <c r="C195" i="10"/>
  <c r="D195" i="10"/>
  <c r="E195" i="10"/>
  <c r="F195" i="10"/>
  <c r="G195" i="10"/>
  <c r="H195" i="10"/>
  <c r="I195" i="10"/>
  <c r="C196" i="10"/>
  <c r="D196" i="10"/>
  <c r="E196" i="10"/>
  <c r="F196" i="10"/>
  <c r="G196" i="10"/>
  <c r="H196" i="10"/>
  <c r="I196" i="10"/>
  <c r="C197" i="10"/>
  <c r="D197" i="10"/>
  <c r="E197" i="10"/>
  <c r="F197" i="10"/>
  <c r="G197" i="10"/>
  <c r="H197" i="10"/>
  <c r="I197" i="10"/>
  <c r="C198" i="10"/>
  <c r="D198" i="10"/>
  <c r="E198" i="10"/>
  <c r="F198" i="10"/>
  <c r="G198" i="10"/>
  <c r="H198" i="10"/>
  <c r="I198" i="10"/>
  <c r="C199" i="10"/>
  <c r="D199" i="10"/>
  <c r="E199" i="10"/>
  <c r="F199" i="10"/>
  <c r="G199" i="10"/>
  <c r="H199" i="10"/>
  <c r="I199" i="10"/>
  <c r="C200" i="10"/>
  <c r="D200" i="10"/>
  <c r="E200" i="10"/>
  <c r="F200" i="10"/>
  <c r="G200" i="10"/>
  <c r="H200" i="10"/>
  <c r="I200" i="10"/>
  <c r="C201" i="10"/>
  <c r="D201" i="10"/>
  <c r="E201" i="10"/>
  <c r="F201" i="10"/>
  <c r="G201" i="10"/>
  <c r="H201" i="10"/>
  <c r="I201" i="10"/>
  <c r="C202" i="10"/>
  <c r="D202" i="10"/>
  <c r="E202" i="10"/>
  <c r="F202" i="10"/>
  <c r="G202" i="10"/>
  <c r="H202" i="10"/>
  <c r="I202" i="10"/>
  <c r="C203" i="10"/>
  <c r="D203" i="10"/>
  <c r="E203" i="10"/>
  <c r="F203" i="10"/>
  <c r="G203" i="10"/>
  <c r="H203" i="10"/>
  <c r="I203" i="10"/>
  <c r="C204" i="10"/>
  <c r="D204" i="10"/>
  <c r="E204" i="10"/>
  <c r="F204" i="10"/>
  <c r="G204" i="10"/>
  <c r="H204" i="10"/>
  <c r="I204" i="10"/>
  <c r="C205" i="10"/>
  <c r="D205" i="10"/>
  <c r="E205" i="10"/>
  <c r="F205" i="10"/>
  <c r="G205" i="10"/>
  <c r="H205" i="10"/>
  <c r="I205" i="10"/>
  <c r="C206" i="10"/>
  <c r="D206" i="10"/>
  <c r="E206" i="10"/>
  <c r="F206" i="10"/>
  <c r="G206" i="10"/>
  <c r="H206" i="10"/>
  <c r="I206" i="10"/>
  <c r="C207" i="10"/>
  <c r="D207" i="10"/>
  <c r="E207" i="10"/>
  <c r="F207" i="10"/>
  <c r="G207" i="10"/>
  <c r="H207" i="10"/>
  <c r="I207" i="10"/>
  <c r="C208" i="10"/>
  <c r="D208" i="10"/>
  <c r="E208" i="10"/>
  <c r="F208" i="10"/>
  <c r="G208" i="10"/>
  <c r="H208" i="10"/>
  <c r="I208" i="10"/>
  <c r="C209" i="10"/>
  <c r="D209" i="10"/>
  <c r="E209" i="10"/>
  <c r="F209" i="10"/>
  <c r="G209" i="10"/>
  <c r="H209" i="10"/>
  <c r="I209" i="10"/>
  <c r="C210" i="10"/>
  <c r="D210" i="10"/>
  <c r="E210" i="10"/>
  <c r="F210" i="10"/>
  <c r="G210" i="10"/>
  <c r="H210" i="10"/>
  <c r="I210" i="10"/>
  <c r="C211" i="10"/>
  <c r="D211" i="10"/>
  <c r="E211" i="10"/>
  <c r="F211" i="10"/>
  <c r="G211" i="10"/>
  <c r="H211" i="10"/>
  <c r="I211" i="10"/>
  <c r="C212" i="10"/>
  <c r="D212" i="10"/>
  <c r="E212" i="10"/>
  <c r="F212" i="10"/>
  <c r="G212" i="10"/>
  <c r="H212" i="10"/>
  <c r="I212" i="10"/>
  <c r="C213" i="10"/>
  <c r="D213" i="10"/>
  <c r="E213" i="10"/>
  <c r="F213" i="10"/>
  <c r="G213" i="10"/>
  <c r="H213" i="10"/>
  <c r="I213" i="10"/>
  <c r="C214" i="10"/>
  <c r="D214" i="10"/>
  <c r="E214" i="10"/>
  <c r="F214" i="10"/>
  <c r="G214" i="10"/>
  <c r="H214" i="10"/>
  <c r="I214" i="10"/>
  <c r="C215" i="10"/>
  <c r="D215" i="10"/>
  <c r="E215" i="10"/>
  <c r="F215" i="10"/>
  <c r="G215" i="10"/>
  <c r="H215" i="10"/>
  <c r="I215" i="10"/>
  <c r="C216" i="10"/>
  <c r="D216" i="10"/>
  <c r="E216" i="10"/>
  <c r="F216" i="10"/>
  <c r="G216" i="10"/>
  <c r="H216" i="10"/>
  <c r="I216" i="10"/>
  <c r="C217" i="10"/>
  <c r="D217" i="10"/>
  <c r="E217" i="10"/>
  <c r="F217" i="10"/>
  <c r="G217" i="10"/>
  <c r="H217" i="10"/>
  <c r="I217" i="10"/>
  <c r="C218" i="10"/>
  <c r="D218" i="10"/>
  <c r="E218" i="10"/>
  <c r="F218" i="10"/>
  <c r="G218" i="10"/>
  <c r="H218" i="10"/>
  <c r="I218" i="10"/>
  <c r="C219" i="10"/>
  <c r="D219" i="10"/>
  <c r="E219" i="10"/>
  <c r="F219" i="10"/>
  <c r="G219" i="10"/>
  <c r="H219" i="10"/>
  <c r="I219" i="10"/>
  <c r="C220" i="10"/>
  <c r="D220" i="10"/>
  <c r="E220" i="10"/>
  <c r="F220" i="10"/>
  <c r="G220" i="10"/>
  <c r="H220" i="10"/>
  <c r="I220" i="10"/>
  <c r="C221" i="10"/>
  <c r="D221" i="10"/>
  <c r="E221" i="10"/>
  <c r="F221" i="10"/>
  <c r="G221" i="10"/>
  <c r="H221" i="10"/>
  <c r="I221" i="10"/>
  <c r="C222" i="10"/>
  <c r="D222" i="10"/>
  <c r="E222" i="10"/>
  <c r="F222" i="10"/>
  <c r="G222" i="10"/>
  <c r="H222" i="10"/>
  <c r="I222" i="10"/>
  <c r="C223" i="10"/>
  <c r="D223" i="10"/>
  <c r="E223" i="10"/>
  <c r="F223" i="10"/>
  <c r="G223" i="10"/>
  <c r="H223" i="10"/>
  <c r="I223" i="10"/>
  <c r="C224" i="10"/>
  <c r="D224" i="10"/>
  <c r="E224" i="10"/>
  <c r="F224" i="10"/>
  <c r="G224" i="10"/>
  <c r="H224" i="10"/>
  <c r="I224" i="10"/>
  <c r="C225" i="10"/>
  <c r="D225" i="10"/>
  <c r="E225" i="10"/>
  <c r="F225" i="10"/>
  <c r="G225" i="10"/>
  <c r="H225" i="10"/>
  <c r="I225" i="10"/>
  <c r="I118" i="10"/>
  <c r="H118" i="10"/>
  <c r="G118" i="10"/>
  <c r="F118" i="10"/>
  <c r="E118" i="10"/>
  <c r="D118" i="10"/>
  <c r="C118" i="10"/>
  <c r="I56" i="3" l="1"/>
  <c r="H56" i="3"/>
  <c r="I53" i="3" l="1"/>
  <c r="I54" i="3"/>
  <c r="I10" i="3"/>
  <c r="I9" i="3"/>
  <c r="H53" i="3"/>
  <c r="H54" i="3" l="1"/>
  <c r="H44" i="3" l="1"/>
  <c r="D128" i="3" l="1"/>
  <c r="D123" i="3"/>
  <c r="E123" i="3"/>
  <c r="D118" i="3"/>
  <c r="E118" i="3"/>
  <c r="D113" i="3"/>
  <c r="E113" i="3"/>
  <c r="E104" i="3"/>
  <c r="D95" i="3"/>
  <c r="D93" i="3"/>
  <c r="D91" i="3"/>
  <c r="D89" i="3"/>
  <c r="D97" i="3" l="1"/>
  <c r="E95" i="3"/>
  <c r="E93" i="3"/>
  <c r="E91" i="3"/>
  <c r="E89" i="3"/>
  <c r="H43" i="3" l="1"/>
  <c r="D96" i="3" l="1"/>
  <c r="E94" i="3"/>
  <c r="D94" i="3"/>
  <c r="E92" i="3"/>
  <c r="D92" i="3"/>
  <c r="E90" i="3"/>
  <c r="D90" i="3"/>
  <c r="E88" i="3"/>
  <c r="D88" i="3"/>
  <c r="D127" i="3"/>
  <c r="E122" i="3"/>
  <c r="D122" i="3"/>
  <c r="E117" i="3"/>
  <c r="D117" i="3"/>
  <c r="P125" i="3"/>
  <c r="P124" i="3"/>
  <c r="P122" i="3"/>
  <c r="P123" i="3"/>
  <c r="P121" i="3"/>
  <c r="P118" i="3"/>
  <c r="P117" i="3"/>
  <c r="P115" i="3"/>
  <c r="P116" i="3"/>
  <c r="P114" i="3"/>
  <c r="H11" i="3"/>
  <c r="P126" i="3" l="1"/>
  <c r="Q125" i="3" s="1"/>
  <c r="P119" i="3"/>
  <c r="Q117" i="3" s="1"/>
  <c r="C35" i="1"/>
  <c r="Q123" i="3" l="1"/>
  <c r="Q122" i="3"/>
  <c r="Q121" i="3"/>
  <c r="Q124" i="3"/>
  <c r="Q118" i="3"/>
  <c r="Q115" i="3"/>
  <c r="Q116" i="3"/>
  <c r="Q114" i="3"/>
  <c r="D85" i="8"/>
  <c r="E9" i="8" l="1"/>
  <c r="F9" i="8" s="1"/>
  <c r="E12" i="8"/>
  <c r="F12" i="8" s="1"/>
  <c r="M12" i="8" s="1"/>
  <c r="E11" i="8"/>
  <c r="F11" i="8" s="1"/>
  <c r="M11" i="8" s="1"/>
  <c r="E8" i="8"/>
  <c r="F8" i="8" s="1"/>
  <c r="M8" i="8" s="1"/>
  <c r="E10" i="8"/>
  <c r="F10" i="8" s="1"/>
  <c r="M10" i="8" s="1"/>
  <c r="N10" i="8" s="1"/>
  <c r="E7" i="8"/>
  <c r="F7" i="8" s="1"/>
  <c r="M7" i="8" s="1"/>
  <c r="E13" i="8"/>
  <c r="F13" i="8" s="1"/>
  <c r="M13" i="8" s="1"/>
  <c r="I14" i="3"/>
  <c r="I15" i="3"/>
  <c r="I16" i="3"/>
  <c r="I17" i="3"/>
  <c r="I18" i="3"/>
  <c r="I19" i="3"/>
  <c r="I20" i="3"/>
  <c r="I21" i="3"/>
  <c r="I22" i="3"/>
  <c r="I23" i="3"/>
  <c r="I24" i="3"/>
  <c r="I25" i="3"/>
  <c r="I26" i="3"/>
  <c r="I27" i="3"/>
  <c r="I28" i="3"/>
  <c r="I29" i="3"/>
  <c r="I30" i="3"/>
  <c r="I31" i="3"/>
  <c r="I32" i="3"/>
  <c r="I13" i="3"/>
  <c r="N7" i="8" l="1"/>
  <c r="N8" i="8"/>
  <c r="N11" i="8"/>
  <c r="M9" i="8"/>
  <c r="N9" i="8" s="1"/>
  <c r="E272" i="12"/>
  <c r="I272" i="12" s="1"/>
  <c r="E273" i="12"/>
  <c r="I273" i="12" s="1"/>
  <c r="E274" i="12"/>
  <c r="I274" i="12" s="1"/>
  <c r="E275" i="12"/>
  <c r="K275" i="12" s="1"/>
  <c r="E276" i="12"/>
  <c r="I276" i="12" s="1"/>
  <c r="E277" i="12"/>
  <c r="I277" i="12" s="1"/>
  <c r="E278" i="12"/>
  <c r="I278" i="12" s="1"/>
  <c r="E279" i="12"/>
  <c r="K279" i="12" s="1"/>
  <c r="E280" i="12"/>
  <c r="I280" i="12" s="1"/>
  <c r="E281" i="12"/>
  <c r="I281" i="12" s="1"/>
  <c r="E282" i="12"/>
  <c r="I282" i="12" s="1"/>
  <c r="E283" i="12"/>
  <c r="K283" i="12" s="1"/>
  <c r="E284" i="12"/>
  <c r="I284" i="12" s="1"/>
  <c r="E285" i="12"/>
  <c r="I285" i="12" s="1"/>
  <c r="E286" i="12"/>
  <c r="I286" i="12" s="1"/>
  <c r="E287" i="12"/>
  <c r="K287" i="12" s="1"/>
  <c r="E288" i="12"/>
  <c r="I288" i="12" s="1"/>
  <c r="E289" i="12"/>
  <c r="I289" i="12" s="1"/>
  <c r="E271" i="12"/>
  <c r="J271" i="12" s="1"/>
  <c r="E291" i="12"/>
  <c r="K291" i="12" s="1"/>
  <c r="E290" i="12"/>
  <c r="J290" i="12" s="1"/>
  <c r="E269" i="12"/>
  <c r="I269" i="12" s="1"/>
  <c r="E270" i="12"/>
  <c r="I270" i="12" s="1"/>
  <c r="E268" i="12"/>
  <c r="I268" i="12" s="1"/>
  <c r="E263" i="12"/>
  <c r="K263" i="12" s="1"/>
  <c r="E264" i="12"/>
  <c r="K264" i="12" s="1"/>
  <c r="E265" i="12"/>
  <c r="I265" i="12" s="1"/>
  <c r="E266" i="12"/>
  <c r="J266" i="12" s="1"/>
  <c r="E267" i="12"/>
  <c r="K267" i="12" s="1"/>
  <c r="E262" i="12"/>
  <c r="I262" i="12" s="1"/>
  <c r="E260" i="12"/>
  <c r="K260" i="12" s="1"/>
  <c r="E261" i="12"/>
  <c r="I261" i="12" s="1"/>
  <c r="E259" i="12"/>
  <c r="I259" i="12" s="1"/>
  <c r="E256" i="12"/>
  <c r="J256" i="12" s="1"/>
  <c r="E257" i="12"/>
  <c r="I257" i="12" s="1"/>
  <c r="E258" i="12"/>
  <c r="J258" i="12" s="1"/>
  <c r="E255" i="12"/>
  <c r="I255" i="12" s="1"/>
  <c r="E254" i="12"/>
  <c r="I254" i="12" s="1"/>
  <c r="E247" i="12"/>
  <c r="J247" i="12" s="1"/>
  <c r="E248" i="12"/>
  <c r="K248" i="12" s="1"/>
  <c r="E249" i="12"/>
  <c r="I249" i="12" s="1"/>
  <c r="E250" i="12"/>
  <c r="I250" i="12" s="1"/>
  <c r="E251" i="12"/>
  <c r="J251" i="12" s="1"/>
  <c r="E252" i="12"/>
  <c r="K252" i="12" s="1"/>
  <c r="E253" i="12"/>
  <c r="I253" i="12" s="1"/>
  <c r="E246" i="12"/>
  <c r="I246" i="12" s="1"/>
  <c r="E242" i="12"/>
  <c r="I242" i="12" s="1"/>
  <c r="E243" i="12"/>
  <c r="K243" i="12" s="1"/>
  <c r="E244" i="12"/>
  <c r="I244" i="12" s="1"/>
  <c r="E245" i="12"/>
  <c r="I245" i="12" s="1"/>
  <c r="E241" i="12"/>
  <c r="I241" i="12" s="1"/>
  <c r="E234" i="12"/>
  <c r="J234" i="12" s="1"/>
  <c r="E235" i="12"/>
  <c r="I235" i="12" s="1"/>
  <c r="E236" i="12"/>
  <c r="K236" i="12" s="1"/>
  <c r="E237" i="12"/>
  <c r="I237" i="12" s="1"/>
  <c r="E238" i="12"/>
  <c r="J238" i="12" s="1"/>
  <c r="E239" i="12"/>
  <c r="I239" i="12" s="1"/>
  <c r="E240" i="12"/>
  <c r="K240" i="12" s="1"/>
  <c r="E233" i="12"/>
  <c r="I233" i="12" s="1"/>
  <c r="E203" i="12"/>
  <c r="K203" i="12" s="1"/>
  <c r="E204" i="12"/>
  <c r="E205" i="12"/>
  <c r="K205" i="12" s="1"/>
  <c r="E206" i="12"/>
  <c r="I206" i="12" s="1"/>
  <c r="E207" i="12"/>
  <c r="K207" i="12" s="1"/>
  <c r="E208" i="12"/>
  <c r="E209" i="12"/>
  <c r="K209" i="12" s="1"/>
  <c r="E210" i="12"/>
  <c r="I210" i="12" s="1"/>
  <c r="E211" i="12"/>
  <c r="K211" i="12" s="1"/>
  <c r="E212" i="12"/>
  <c r="E213" i="12"/>
  <c r="K213" i="12" s="1"/>
  <c r="E214" i="12"/>
  <c r="I214" i="12" s="1"/>
  <c r="E215" i="12"/>
  <c r="K215" i="12" s="1"/>
  <c r="E216" i="12"/>
  <c r="E217" i="12"/>
  <c r="K217" i="12" s="1"/>
  <c r="E218" i="12"/>
  <c r="I218" i="12" s="1"/>
  <c r="E219" i="12"/>
  <c r="K219" i="12" s="1"/>
  <c r="E220" i="12"/>
  <c r="E221" i="12"/>
  <c r="K221" i="12" s="1"/>
  <c r="E222" i="12"/>
  <c r="I222" i="12" s="1"/>
  <c r="E223" i="12"/>
  <c r="K223" i="12" s="1"/>
  <c r="E224" i="12"/>
  <c r="E225" i="12"/>
  <c r="K225" i="12" s="1"/>
  <c r="E226" i="12"/>
  <c r="I226" i="12" s="1"/>
  <c r="E227" i="12"/>
  <c r="K227" i="12" s="1"/>
  <c r="E228" i="12"/>
  <c r="E229" i="12"/>
  <c r="K229" i="12" s="1"/>
  <c r="E230" i="12"/>
  <c r="I230" i="12" s="1"/>
  <c r="E231" i="12"/>
  <c r="K231" i="12" s="1"/>
  <c r="E232" i="12"/>
  <c r="E202" i="12"/>
  <c r="I202" i="12" s="1"/>
  <c r="E199" i="12"/>
  <c r="J199" i="12" s="1"/>
  <c r="E200" i="12"/>
  <c r="I200" i="12" s="1"/>
  <c r="E201" i="12"/>
  <c r="J201" i="12" s="1"/>
  <c r="E198" i="12"/>
  <c r="I198" i="12" s="1"/>
  <c r="E191" i="12"/>
  <c r="J191" i="12" s="1"/>
  <c r="E192" i="12"/>
  <c r="I192" i="12" s="1"/>
  <c r="E193" i="12"/>
  <c r="J193" i="12" s="1"/>
  <c r="E194" i="12"/>
  <c r="I194" i="12" s="1"/>
  <c r="E195" i="12"/>
  <c r="J195" i="12" s="1"/>
  <c r="E196" i="12"/>
  <c r="I196" i="12" s="1"/>
  <c r="E197" i="12"/>
  <c r="J197" i="12" s="1"/>
  <c r="E190" i="12"/>
  <c r="J190" i="12" s="1"/>
  <c r="E181" i="12"/>
  <c r="I181" i="12" s="1"/>
  <c r="E182" i="12"/>
  <c r="J182" i="12" s="1"/>
  <c r="E183" i="12"/>
  <c r="E184" i="12"/>
  <c r="J184" i="12" s="1"/>
  <c r="E185" i="12"/>
  <c r="I185" i="12" s="1"/>
  <c r="E186" i="12"/>
  <c r="J186" i="12" s="1"/>
  <c r="E187" i="12"/>
  <c r="E188" i="12"/>
  <c r="J188" i="12" s="1"/>
  <c r="E189" i="12"/>
  <c r="I189" i="12" s="1"/>
  <c r="E180" i="12"/>
  <c r="K180" i="12" s="1"/>
  <c r="E168" i="12"/>
  <c r="J168" i="12" s="1"/>
  <c r="E169" i="12"/>
  <c r="K169" i="12" s="1"/>
  <c r="E170" i="12"/>
  <c r="I170" i="12" s="1"/>
  <c r="E171" i="12"/>
  <c r="I171" i="12" s="1"/>
  <c r="E167" i="12"/>
  <c r="I167" i="12" s="1"/>
  <c r="E177" i="12"/>
  <c r="J177" i="12" s="1"/>
  <c r="E178" i="12"/>
  <c r="K178" i="12" s="1"/>
  <c r="E179" i="12"/>
  <c r="I179" i="12" s="1"/>
  <c r="E176" i="12"/>
  <c r="I176" i="12" s="1"/>
  <c r="E173" i="12"/>
  <c r="J173" i="12" s="1"/>
  <c r="E174" i="12"/>
  <c r="K174" i="12" s="1"/>
  <c r="E175" i="12"/>
  <c r="I175" i="12" s="1"/>
  <c r="E172" i="12"/>
  <c r="K172" i="12" s="1"/>
  <c r="E160" i="12"/>
  <c r="J160" i="12" s="1"/>
  <c r="E161" i="12"/>
  <c r="K161" i="12" s="1"/>
  <c r="E162" i="12"/>
  <c r="I162" i="12" s="1"/>
  <c r="E163" i="12"/>
  <c r="I163" i="12" s="1"/>
  <c r="E164" i="12"/>
  <c r="J164" i="12" s="1"/>
  <c r="E165" i="12"/>
  <c r="K165" i="12" s="1"/>
  <c r="E166" i="12"/>
  <c r="I166" i="12" s="1"/>
  <c r="E159" i="12"/>
  <c r="K159" i="12" s="1"/>
  <c r="E140" i="12"/>
  <c r="I140" i="12" s="1"/>
  <c r="E141" i="12"/>
  <c r="J141" i="12" s="1"/>
  <c r="E142" i="12"/>
  <c r="K142" i="12" s="1"/>
  <c r="E143" i="12"/>
  <c r="I143" i="12" s="1"/>
  <c r="E144" i="12"/>
  <c r="I144" i="12" s="1"/>
  <c r="E145" i="12"/>
  <c r="J145" i="12" s="1"/>
  <c r="E146" i="12"/>
  <c r="K146" i="12" s="1"/>
  <c r="E147" i="12"/>
  <c r="I147" i="12" s="1"/>
  <c r="E148" i="12"/>
  <c r="I148" i="12" s="1"/>
  <c r="E149" i="12"/>
  <c r="J149" i="12" s="1"/>
  <c r="E150" i="12"/>
  <c r="K150" i="12" s="1"/>
  <c r="E151" i="12"/>
  <c r="I151" i="12" s="1"/>
  <c r="E152" i="12"/>
  <c r="I152" i="12" s="1"/>
  <c r="E153" i="12"/>
  <c r="J153" i="12" s="1"/>
  <c r="E154" i="12"/>
  <c r="K154" i="12" s="1"/>
  <c r="E155" i="12"/>
  <c r="I155" i="12" s="1"/>
  <c r="E156" i="12"/>
  <c r="I156" i="12" s="1"/>
  <c r="E157" i="12"/>
  <c r="J157" i="12" s="1"/>
  <c r="E139" i="12"/>
  <c r="I139" i="12" s="1"/>
  <c r="E129" i="12"/>
  <c r="K129" i="12" s="1"/>
  <c r="E130" i="12"/>
  <c r="I130" i="12" s="1"/>
  <c r="E131" i="12"/>
  <c r="I131" i="12" s="1"/>
  <c r="E132" i="12"/>
  <c r="I132" i="12" s="1"/>
  <c r="E133" i="12"/>
  <c r="K133" i="12" s="1"/>
  <c r="E134" i="12"/>
  <c r="I134" i="12" s="1"/>
  <c r="E135" i="12"/>
  <c r="I135" i="12" s="1"/>
  <c r="E136" i="12"/>
  <c r="I136" i="12" s="1"/>
  <c r="E137" i="12"/>
  <c r="K137" i="12" s="1"/>
  <c r="E138" i="12"/>
  <c r="I138" i="12" s="1"/>
  <c r="E128" i="12"/>
  <c r="I128" i="12" s="1"/>
  <c r="E119" i="12"/>
  <c r="J119" i="12" s="1"/>
  <c r="E120" i="12"/>
  <c r="K120" i="12" s="1"/>
  <c r="E121" i="12"/>
  <c r="I121" i="12" s="1"/>
  <c r="E122" i="12"/>
  <c r="I122" i="12" s="1"/>
  <c r="E123" i="12"/>
  <c r="J123" i="12" s="1"/>
  <c r="E124" i="12"/>
  <c r="K124" i="12" s="1"/>
  <c r="E125" i="12"/>
  <c r="K125" i="12" s="1"/>
  <c r="E126" i="12"/>
  <c r="I126" i="12" s="1"/>
  <c r="E127" i="12"/>
  <c r="J127" i="12" s="1"/>
  <c r="E118" i="12"/>
  <c r="I118" i="12" s="1"/>
  <c r="E98" i="12"/>
  <c r="I98" i="12" s="1"/>
  <c r="E99" i="12"/>
  <c r="I99" i="12" s="1"/>
  <c r="E100" i="12"/>
  <c r="J100" i="12" s="1"/>
  <c r="E101" i="12"/>
  <c r="K101" i="12" s="1"/>
  <c r="E102" i="12"/>
  <c r="I102" i="12" s="1"/>
  <c r="E103" i="12"/>
  <c r="I103" i="12" s="1"/>
  <c r="E104" i="12"/>
  <c r="I104" i="12" s="1"/>
  <c r="E105" i="12"/>
  <c r="K105" i="12" s="1"/>
  <c r="E106" i="12"/>
  <c r="I106" i="12" s="1"/>
  <c r="E107" i="12"/>
  <c r="I107" i="12" s="1"/>
  <c r="E108" i="12"/>
  <c r="I108" i="12" s="1"/>
  <c r="E109" i="12"/>
  <c r="K109" i="12" s="1"/>
  <c r="E110" i="12"/>
  <c r="I110" i="12" s="1"/>
  <c r="E111" i="12"/>
  <c r="I111" i="12" s="1"/>
  <c r="E112" i="12"/>
  <c r="J112" i="12" s="1"/>
  <c r="E113" i="12"/>
  <c r="K113" i="12" s="1"/>
  <c r="E114" i="12"/>
  <c r="I114" i="12" s="1"/>
  <c r="E115" i="12"/>
  <c r="I115" i="12" s="1"/>
  <c r="E116" i="12"/>
  <c r="J116" i="12" s="1"/>
  <c r="E117" i="12"/>
  <c r="K117" i="12" s="1"/>
  <c r="E97" i="12"/>
  <c r="K97" i="12" s="1"/>
  <c r="M15" i="8" l="1"/>
  <c r="N13" i="8"/>
  <c r="N12" i="8"/>
  <c r="M14" i="8"/>
  <c r="I251" i="12"/>
  <c r="K261" i="12"/>
  <c r="J215" i="12"/>
  <c r="K239" i="12"/>
  <c r="K181" i="12"/>
  <c r="I188" i="12"/>
  <c r="K185" i="12"/>
  <c r="J185" i="12"/>
  <c r="J189" i="12"/>
  <c r="I182" i="12"/>
  <c r="I180" i="12"/>
  <c r="J231" i="12"/>
  <c r="K235" i="12"/>
  <c r="J227" i="12"/>
  <c r="I234" i="12"/>
  <c r="J268" i="12"/>
  <c r="K265" i="12"/>
  <c r="J223" i="12"/>
  <c r="I165" i="12"/>
  <c r="I197" i="12"/>
  <c r="J211" i="12"/>
  <c r="K258" i="12"/>
  <c r="J239" i="12"/>
  <c r="K233" i="12"/>
  <c r="I174" i="12"/>
  <c r="J219" i="12"/>
  <c r="I161" i="12"/>
  <c r="K194" i="12"/>
  <c r="J209" i="12"/>
  <c r="K192" i="12"/>
  <c r="J207" i="12"/>
  <c r="K139" i="12"/>
  <c r="I190" i="12"/>
  <c r="J205" i="12"/>
  <c r="J203" i="12"/>
  <c r="I201" i="12"/>
  <c r="K198" i="12"/>
  <c r="J243" i="12"/>
  <c r="K284" i="12"/>
  <c r="J194" i="12"/>
  <c r="J198" i="12"/>
  <c r="I231" i="12"/>
  <c r="I227" i="12"/>
  <c r="I223" i="12"/>
  <c r="I219" i="12"/>
  <c r="I215" i="12"/>
  <c r="I211" i="12"/>
  <c r="I207" i="12"/>
  <c r="I203" i="12"/>
  <c r="J235" i="12"/>
  <c r="I243" i="12"/>
  <c r="J261" i="12"/>
  <c r="I258" i="12"/>
  <c r="K254" i="12"/>
  <c r="J291" i="12"/>
  <c r="J288" i="12"/>
  <c r="J284" i="12"/>
  <c r="J280" i="12"/>
  <c r="J276" i="12"/>
  <c r="J272" i="12"/>
  <c r="J267" i="12"/>
  <c r="J263" i="12"/>
  <c r="I256" i="12"/>
  <c r="K288" i="12"/>
  <c r="K276" i="12"/>
  <c r="K272" i="12"/>
  <c r="K186" i="12"/>
  <c r="I184" i="12"/>
  <c r="J181" i="12"/>
  <c r="K196" i="12"/>
  <c r="K190" i="12"/>
  <c r="K200" i="12"/>
  <c r="K230" i="12"/>
  <c r="K226" i="12"/>
  <c r="K222" i="12"/>
  <c r="K218" i="12"/>
  <c r="K214" i="12"/>
  <c r="K210" i="12"/>
  <c r="K206" i="12"/>
  <c r="K202" i="12"/>
  <c r="I238" i="12"/>
  <c r="K244" i="12"/>
  <c r="K241" i="12"/>
  <c r="J260" i="12"/>
  <c r="K257" i="12"/>
  <c r="I291" i="12"/>
  <c r="J287" i="12"/>
  <c r="J283" i="12"/>
  <c r="J279" i="12"/>
  <c r="J275" i="12"/>
  <c r="I271" i="12"/>
  <c r="I267" i="12"/>
  <c r="I263" i="12"/>
  <c r="K280" i="12"/>
  <c r="I178" i="12"/>
  <c r="K189" i="12"/>
  <c r="I186" i="12"/>
  <c r="K182" i="12"/>
  <c r="J180" i="12"/>
  <c r="I193" i="12"/>
  <c r="J229" i="12"/>
  <c r="J225" i="12"/>
  <c r="J221" i="12"/>
  <c r="J217" i="12"/>
  <c r="J213" i="12"/>
  <c r="K237" i="12"/>
  <c r="J244" i="12"/>
  <c r="I260" i="12"/>
  <c r="J257" i="12"/>
  <c r="I290" i="12"/>
  <c r="I287" i="12"/>
  <c r="I283" i="12"/>
  <c r="I279" i="12"/>
  <c r="I275" i="12"/>
  <c r="K268" i="12"/>
  <c r="I266" i="12"/>
  <c r="J232" i="12"/>
  <c r="K232" i="12"/>
  <c r="J228" i="12"/>
  <c r="K228" i="12"/>
  <c r="J220" i="12"/>
  <c r="K220" i="12"/>
  <c r="I220" i="12"/>
  <c r="J212" i="12"/>
  <c r="K212" i="12"/>
  <c r="I212" i="12"/>
  <c r="J204" i="12"/>
  <c r="K204" i="12"/>
  <c r="I204" i="12"/>
  <c r="I187" i="12"/>
  <c r="J187" i="12"/>
  <c r="K187" i="12"/>
  <c r="I183" i="12"/>
  <c r="J183" i="12"/>
  <c r="K183" i="12"/>
  <c r="K195" i="12"/>
  <c r="I195" i="12"/>
  <c r="K191" i="12"/>
  <c r="I191" i="12"/>
  <c r="K199" i="12"/>
  <c r="I199" i="12"/>
  <c r="I232" i="12"/>
  <c r="J224" i="12"/>
  <c r="K224" i="12"/>
  <c r="I224" i="12"/>
  <c r="J216" i="12"/>
  <c r="I216" i="12"/>
  <c r="K216" i="12"/>
  <c r="J208" i="12"/>
  <c r="K208" i="12"/>
  <c r="I208" i="12"/>
  <c r="I228" i="12"/>
  <c r="K245" i="12"/>
  <c r="K289" i="12"/>
  <c r="K166" i="12"/>
  <c r="K162" i="12"/>
  <c r="K179" i="12"/>
  <c r="K175" i="12"/>
  <c r="K197" i="12"/>
  <c r="J196" i="12"/>
  <c r="K193" i="12"/>
  <c r="J192" i="12"/>
  <c r="K201" i="12"/>
  <c r="J200" i="12"/>
  <c r="J230" i="12"/>
  <c r="I229" i="12"/>
  <c r="J226" i="12"/>
  <c r="I225" i="12"/>
  <c r="J222" i="12"/>
  <c r="I221" i="12"/>
  <c r="J218" i="12"/>
  <c r="I217" i="12"/>
  <c r="J214" i="12"/>
  <c r="I213" i="12"/>
  <c r="J210" i="12"/>
  <c r="I209" i="12"/>
  <c r="J206" i="12"/>
  <c r="I205" i="12"/>
  <c r="J202" i="12"/>
  <c r="I240" i="12"/>
  <c r="K238" i="12"/>
  <c r="J237" i="12"/>
  <c r="I236" i="12"/>
  <c r="K234" i="12"/>
  <c r="J233" i="12"/>
  <c r="J245" i="12"/>
  <c r="K242" i="12"/>
  <c r="J241" i="12"/>
  <c r="K259" i="12"/>
  <c r="K255" i="12"/>
  <c r="J254" i="12"/>
  <c r="K290" i="12"/>
  <c r="J289" i="12"/>
  <c r="K286" i="12"/>
  <c r="J285" i="12"/>
  <c r="K282" i="12"/>
  <c r="J281" i="12"/>
  <c r="K278" i="12"/>
  <c r="J277" i="12"/>
  <c r="K274" i="12"/>
  <c r="J273" i="12"/>
  <c r="K270" i="12"/>
  <c r="J269" i="12"/>
  <c r="K266" i="12"/>
  <c r="J265" i="12"/>
  <c r="I264" i="12"/>
  <c r="K262" i="12"/>
  <c r="J240" i="12"/>
  <c r="K285" i="12"/>
  <c r="K281" i="12"/>
  <c r="K277" i="12"/>
  <c r="K273" i="12"/>
  <c r="K269" i="12"/>
  <c r="J264" i="12"/>
  <c r="J166" i="12"/>
  <c r="J162" i="12"/>
  <c r="J179" i="12"/>
  <c r="J175" i="12"/>
  <c r="K188" i="12"/>
  <c r="K184" i="12"/>
  <c r="J242" i="12"/>
  <c r="J259" i="12"/>
  <c r="K256" i="12"/>
  <c r="J255" i="12"/>
  <c r="J286" i="12"/>
  <c r="J282" i="12"/>
  <c r="J278" i="12"/>
  <c r="J274" i="12"/>
  <c r="K271" i="12"/>
  <c r="J270" i="12"/>
  <c r="J262" i="12"/>
  <c r="J236" i="12"/>
  <c r="J165" i="12"/>
  <c r="J161" i="12"/>
  <c r="J178" i="12"/>
  <c r="J174" i="12"/>
  <c r="K249" i="12"/>
  <c r="K253" i="12"/>
  <c r="J248" i="12"/>
  <c r="J252" i="12"/>
  <c r="I247" i="12"/>
  <c r="J253" i="12"/>
  <c r="I252" i="12"/>
  <c r="K250" i="12"/>
  <c r="J249" i="12"/>
  <c r="I248" i="12"/>
  <c r="K246" i="12"/>
  <c r="K251" i="12"/>
  <c r="J250" i="12"/>
  <c r="K247" i="12"/>
  <c r="J246" i="12"/>
  <c r="K170" i="12"/>
  <c r="J170" i="12"/>
  <c r="J169" i="12"/>
  <c r="I168" i="12"/>
  <c r="K171" i="12"/>
  <c r="I169" i="12"/>
  <c r="K167" i="12"/>
  <c r="J171" i="12"/>
  <c r="K168" i="12"/>
  <c r="J167" i="12"/>
  <c r="K155" i="12"/>
  <c r="K147" i="12"/>
  <c r="I164" i="12"/>
  <c r="I160" i="12"/>
  <c r="I177" i="12"/>
  <c r="I173" i="12"/>
  <c r="J154" i="12"/>
  <c r="J146" i="12"/>
  <c r="I159" i="12"/>
  <c r="K163" i="12"/>
  <c r="I172" i="12"/>
  <c r="K176" i="12"/>
  <c r="K151" i="12"/>
  <c r="K143" i="12"/>
  <c r="J159" i="12"/>
  <c r="K164" i="12"/>
  <c r="J163" i="12"/>
  <c r="K160" i="12"/>
  <c r="J172" i="12"/>
  <c r="K177" i="12"/>
  <c r="J176" i="12"/>
  <c r="K173" i="12"/>
  <c r="J125" i="12"/>
  <c r="J150" i="12"/>
  <c r="J142" i="12"/>
  <c r="I157" i="12"/>
  <c r="I153" i="12"/>
  <c r="I149" i="12"/>
  <c r="I145" i="12"/>
  <c r="I141" i="12"/>
  <c r="K121" i="12"/>
  <c r="K156" i="12"/>
  <c r="J155" i="12"/>
  <c r="I154" i="12"/>
  <c r="K152" i="12"/>
  <c r="J151" i="12"/>
  <c r="I150" i="12"/>
  <c r="K148" i="12"/>
  <c r="J147" i="12"/>
  <c r="I146" i="12"/>
  <c r="K144" i="12"/>
  <c r="J143" i="12"/>
  <c r="I142" i="12"/>
  <c r="K140" i="12"/>
  <c r="J139" i="12"/>
  <c r="K157" i="12"/>
  <c r="J156" i="12"/>
  <c r="K153" i="12"/>
  <c r="J152" i="12"/>
  <c r="K149" i="12"/>
  <c r="J148" i="12"/>
  <c r="K145" i="12"/>
  <c r="J144" i="12"/>
  <c r="K141" i="12"/>
  <c r="J140" i="12"/>
  <c r="I117" i="12"/>
  <c r="I113" i="12"/>
  <c r="I109" i="12"/>
  <c r="I105" i="12"/>
  <c r="I101" i="12"/>
  <c r="I97" i="12"/>
  <c r="K138" i="12"/>
  <c r="K134" i="12"/>
  <c r="K130" i="12"/>
  <c r="K114" i="12"/>
  <c r="K110" i="12"/>
  <c r="K106" i="12"/>
  <c r="K102" i="12"/>
  <c r="K98" i="12"/>
  <c r="I127" i="12"/>
  <c r="I125" i="12"/>
  <c r="J121" i="12"/>
  <c r="J138" i="12"/>
  <c r="J134" i="12"/>
  <c r="J130" i="12"/>
  <c r="J114" i="12"/>
  <c r="J110" i="12"/>
  <c r="J106" i="12"/>
  <c r="J102" i="12"/>
  <c r="J98" i="12"/>
  <c r="K126" i="12"/>
  <c r="I123" i="12"/>
  <c r="J137" i="12"/>
  <c r="J133" i="12"/>
  <c r="J129" i="12"/>
  <c r="J117" i="12"/>
  <c r="J113" i="12"/>
  <c r="J109" i="12"/>
  <c r="J105" i="12"/>
  <c r="J101" i="12"/>
  <c r="J97" i="12"/>
  <c r="K122" i="12"/>
  <c r="I119" i="12"/>
  <c r="I137" i="12"/>
  <c r="I133" i="12"/>
  <c r="I129" i="12"/>
  <c r="I116" i="12"/>
  <c r="I112" i="12"/>
  <c r="I100" i="12"/>
  <c r="J124" i="12"/>
  <c r="J120" i="12"/>
  <c r="K115" i="12"/>
  <c r="K111" i="12"/>
  <c r="K107" i="12"/>
  <c r="K103" i="12"/>
  <c r="K99" i="12"/>
  <c r="I124" i="12"/>
  <c r="I120" i="12"/>
  <c r="K118" i="12"/>
  <c r="K135" i="12"/>
  <c r="K131" i="12"/>
  <c r="K116" i="12"/>
  <c r="J115" i="12"/>
  <c r="K112" i="12"/>
  <c r="J111" i="12"/>
  <c r="K108" i="12"/>
  <c r="J107" i="12"/>
  <c r="K104" i="12"/>
  <c r="J103" i="12"/>
  <c r="K100" i="12"/>
  <c r="J99" i="12"/>
  <c r="K127" i="12"/>
  <c r="J126" i="12"/>
  <c r="K123" i="12"/>
  <c r="J122" i="12"/>
  <c r="K119" i="12"/>
  <c r="J118" i="12"/>
  <c r="K136" i="12"/>
  <c r="J135" i="12"/>
  <c r="K132" i="12"/>
  <c r="J131" i="12"/>
  <c r="K128" i="12"/>
  <c r="J108" i="12"/>
  <c r="J104" i="12"/>
  <c r="J136" i="12"/>
  <c r="J132" i="12"/>
  <c r="J128" i="12"/>
  <c r="V97" i="3"/>
  <c r="V96" i="3"/>
  <c r="V95" i="3"/>
  <c r="V94" i="3"/>
  <c r="V93" i="3"/>
  <c r="V91" i="3"/>
  <c r="V90" i="3"/>
  <c r="V89" i="3"/>
  <c r="V88" i="3"/>
  <c r="V87" i="3"/>
  <c r="R97" i="3"/>
  <c r="R96" i="3"/>
  <c r="R95" i="3"/>
  <c r="R94" i="3"/>
  <c r="R93" i="3"/>
  <c r="R91" i="3"/>
  <c r="R90" i="3"/>
  <c r="R89" i="3"/>
  <c r="R88" i="3"/>
  <c r="R87" i="3"/>
  <c r="N15" i="8" l="1"/>
  <c r="N14" i="8"/>
  <c r="H30" i="9"/>
  <c r="H31" i="9"/>
  <c r="H32" i="9"/>
  <c r="H33" i="9"/>
  <c r="H34" i="9"/>
  <c r="H35" i="9"/>
  <c r="H36" i="9"/>
  <c r="H37" i="9"/>
  <c r="H38" i="9"/>
  <c r="H39" i="9"/>
  <c r="H40" i="9"/>
  <c r="H41" i="9"/>
  <c r="H42" i="9"/>
  <c r="H43" i="9"/>
  <c r="H44" i="9"/>
  <c r="H45" i="9"/>
  <c r="H46" i="9"/>
  <c r="H47" i="9"/>
  <c r="H48" i="9"/>
  <c r="H29" i="9"/>
  <c r="H7" i="9"/>
  <c r="H8" i="9"/>
  <c r="H9" i="9"/>
  <c r="H10" i="9"/>
  <c r="H11" i="9"/>
  <c r="H12" i="9"/>
  <c r="H13" i="9"/>
  <c r="H14" i="9"/>
  <c r="H15" i="9"/>
  <c r="H16" i="9"/>
  <c r="H17" i="9"/>
  <c r="H18" i="9"/>
  <c r="H19" i="9"/>
  <c r="H20" i="9"/>
  <c r="H21" i="9"/>
  <c r="H22" i="9"/>
  <c r="H23" i="9"/>
  <c r="H24" i="9"/>
  <c r="H25" i="9"/>
  <c r="H6" i="9"/>
  <c r="C67" i="9"/>
  <c r="C70" i="9"/>
  <c r="E48" i="9"/>
  <c r="E47" i="9"/>
  <c r="E46" i="9"/>
  <c r="E45" i="9"/>
  <c r="E44" i="9"/>
  <c r="E43" i="9"/>
  <c r="E42" i="9"/>
  <c r="E41" i="9"/>
  <c r="E40" i="9"/>
  <c r="E39" i="9"/>
  <c r="E38" i="9"/>
  <c r="E37" i="9"/>
  <c r="E36" i="9"/>
  <c r="E35" i="9"/>
  <c r="E34" i="9"/>
  <c r="E33" i="9"/>
  <c r="E32" i="9"/>
  <c r="E31" i="9"/>
  <c r="E30" i="9"/>
  <c r="E29" i="9"/>
  <c r="E25" i="9"/>
  <c r="E24" i="9"/>
  <c r="E23" i="9"/>
  <c r="E22" i="9"/>
  <c r="E21" i="9"/>
  <c r="E20" i="9"/>
  <c r="E19" i="9"/>
  <c r="E18" i="9"/>
  <c r="E17" i="9"/>
  <c r="E16" i="9"/>
  <c r="E15" i="9"/>
  <c r="E14" i="9"/>
  <c r="E13" i="9"/>
  <c r="E12" i="9"/>
  <c r="E11" i="9"/>
  <c r="E10" i="9"/>
  <c r="E9" i="9"/>
  <c r="E8" i="9"/>
  <c r="E7" i="9"/>
  <c r="E6" i="9"/>
  <c r="C68" i="9" l="1"/>
  <c r="C69" i="9" s="1"/>
  <c r="AH4" i="10"/>
  <c r="AH5" i="10"/>
  <c r="AI5" i="10"/>
  <c r="AH6" i="10"/>
  <c r="AI6" i="10"/>
  <c r="AH7" i="10"/>
  <c r="AI7" i="10"/>
  <c r="AH8" i="10"/>
  <c r="AI8" i="10"/>
  <c r="AH9" i="10"/>
  <c r="AI9" i="10"/>
  <c r="AH10" i="10"/>
  <c r="AI10" i="10"/>
  <c r="AH11" i="10"/>
  <c r="AI11" i="10"/>
  <c r="AH12" i="10"/>
  <c r="AI12" i="10"/>
  <c r="AH13" i="10"/>
  <c r="AI13" i="10"/>
  <c r="AH14" i="10"/>
  <c r="AI14" i="10"/>
  <c r="AH15" i="10"/>
  <c r="AI15" i="10"/>
  <c r="AH16" i="10"/>
  <c r="AI16" i="10"/>
  <c r="AH17" i="10"/>
  <c r="AI17" i="10"/>
  <c r="AH18" i="10"/>
  <c r="AI18" i="10"/>
  <c r="AH19" i="10"/>
  <c r="AI19" i="10"/>
  <c r="AH20" i="10"/>
  <c r="AI20" i="10"/>
  <c r="AH21" i="10"/>
  <c r="AI21" i="10"/>
  <c r="AH22" i="10"/>
  <c r="AI22" i="10"/>
  <c r="AH23" i="10"/>
  <c r="AI23" i="10"/>
  <c r="AH24" i="10"/>
  <c r="AI24" i="10"/>
  <c r="AH25" i="10"/>
  <c r="AI25" i="10"/>
  <c r="AH26" i="10"/>
  <c r="AI26" i="10"/>
  <c r="AH27" i="10"/>
  <c r="AI27" i="10"/>
  <c r="AH28" i="10"/>
  <c r="AI28" i="10"/>
  <c r="AH29" i="10"/>
  <c r="AI29" i="10"/>
  <c r="AH30" i="10"/>
  <c r="AI30" i="10"/>
  <c r="AH31" i="10"/>
  <c r="AI31" i="10"/>
  <c r="AH32" i="10"/>
  <c r="AI32" i="10"/>
  <c r="AH33" i="10"/>
  <c r="AI33" i="10"/>
  <c r="AH34" i="10"/>
  <c r="AI34" i="10"/>
  <c r="AH35" i="10"/>
  <c r="AI35" i="10"/>
  <c r="AH36" i="10"/>
  <c r="AI36" i="10"/>
  <c r="AH37" i="10"/>
  <c r="AI37" i="10"/>
  <c r="AH38" i="10"/>
  <c r="AI38" i="10"/>
  <c r="AH39" i="10"/>
  <c r="AI39" i="10"/>
  <c r="AH40" i="10"/>
  <c r="AI40" i="10"/>
  <c r="AH41" i="10"/>
  <c r="AI41" i="10"/>
  <c r="AH42" i="10"/>
  <c r="AI42" i="10"/>
  <c r="AH43" i="10"/>
  <c r="AI43" i="10"/>
  <c r="AH44" i="10"/>
  <c r="AI44" i="10"/>
  <c r="AH45" i="10"/>
  <c r="AI45" i="10"/>
  <c r="AH46" i="10"/>
  <c r="AI46" i="10"/>
  <c r="AH47" i="10"/>
  <c r="AI47" i="10"/>
  <c r="AH48" i="10"/>
  <c r="AI48" i="10"/>
  <c r="AH49" i="10"/>
  <c r="AI49" i="10"/>
  <c r="AH50" i="10"/>
  <c r="AI50" i="10"/>
  <c r="AH51" i="10"/>
  <c r="AI51" i="10"/>
  <c r="AH52" i="10"/>
  <c r="AI52" i="10"/>
  <c r="AH53" i="10"/>
  <c r="AI53" i="10"/>
  <c r="AH54" i="10"/>
  <c r="AI54" i="10"/>
  <c r="AH55" i="10"/>
  <c r="AI55" i="10"/>
  <c r="AH56" i="10"/>
  <c r="AI56" i="10"/>
  <c r="AH57" i="10"/>
  <c r="AI57" i="10"/>
  <c r="AH58" i="10"/>
  <c r="AI58" i="10"/>
  <c r="AH59" i="10"/>
  <c r="AI59" i="10"/>
  <c r="AH60" i="10"/>
  <c r="AI60" i="10"/>
  <c r="AH61" i="10"/>
  <c r="AI61" i="10"/>
  <c r="AH62" i="10"/>
  <c r="AI62" i="10"/>
  <c r="AH63" i="10"/>
  <c r="AI63" i="10"/>
  <c r="AH64" i="10"/>
  <c r="AI64" i="10"/>
  <c r="AH65" i="10"/>
  <c r="AI65" i="10"/>
  <c r="AH66" i="10"/>
  <c r="AI66" i="10"/>
  <c r="AH67" i="10"/>
  <c r="AI67" i="10"/>
  <c r="AH68" i="10"/>
  <c r="AI68" i="10"/>
  <c r="AH69" i="10"/>
  <c r="AI69" i="10"/>
  <c r="AH70" i="10"/>
  <c r="AI70" i="10"/>
  <c r="AH71" i="10"/>
  <c r="AI71" i="10"/>
  <c r="AH72" i="10"/>
  <c r="AI72" i="10"/>
  <c r="AH73" i="10"/>
  <c r="AI73" i="10"/>
  <c r="AH74" i="10"/>
  <c r="AI74" i="10"/>
  <c r="AH75" i="10"/>
  <c r="AI75" i="10"/>
  <c r="AH76" i="10"/>
  <c r="AI76" i="10"/>
  <c r="AH77" i="10"/>
  <c r="AI77" i="10"/>
  <c r="AH78" i="10"/>
  <c r="AI78" i="10"/>
  <c r="AH79" i="10"/>
  <c r="AI79" i="10"/>
  <c r="AH80" i="10"/>
  <c r="AI80" i="10"/>
  <c r="AH81" i="10"/>
  <c r="AI81" i="10"/>
  <c r="AH82" i="10"/>
  <c r="AI82" i="10"/>
  <c r="AH83" i="10"/>
  <c r="AI83" i="10"/>
  <c r="AH84" i="10"/>
  <c r="AI84" i="10"/>
  <c r="AH85" i="10"/>
  <c r="AI85" i="10"/>
  <c r="AH86" i="10"/>
  <c r="AI86" i="10"/>
  <c r="AH87" i="10"/>
  <c r="AI87" i="10"/>
  <c r="AH88" i="10"/>
  <c r="AI88" i="10"/>
  <c r="AH89" i="10"/>
  <c r="AI89" i="10"/>
  <c r="AH90" i="10"/>
  <c r="AI90" i="10"/>
  <c r="AH91" i="10"/>
  <c r="AI91" i="10"/>
  <c r="AH92" i="10"/>
  <c r="AI92" i="10"/>
  <c r="AH93" i="10"/>
  <c r="AI93" i="10"/>
  <c r="AH94" i="10"/>
  <c r="AI94" i="10"/>
  <c r="AH95" i="10"/>
  <c r="AI95" i="10"/>
  <c r="AH96" i="10"/>
  <c r="AI96" i="10"/>
  <c r="AH97" i="10"/>
  <c r="AI97" i="10"/>
  <c r="AH98" i="10"/>
  <c r="AI98" i="10"/>
  <c r="AH99" i="10"/>
  <c r="AI99" i="10"/>
  <c r="AH100" i="10"/>
  <c r="AI100" i="10"/>
  <c r="AH101" i="10"/>
  <c r="AI101" i="10"/>
  <c r="AH102" i="10"/>
  <c r="AI102" i="10"/>
  <c r="AH103" i="10"/>
  <c r="AI103" i="10"/>
  <c r="AH104" i="10"/>
  <c r="AI104" i="10"/>
  <c r="AH105" i="10"/>
  <c r="AI105" i="10"/>
  <c r="AH106" i="10"/>
  <c r="AI106" i="10"/>
  <c r="AH107" i="10"/>
  <c r="AI107" i="10"/>
  <c r="AH108" i="10"/>
  <c r="AI108" i="10"/>
  <c r="AH109" i="10"/>
  <c r="AI109" i="10"/>
  <c r="AH110" i="10"/>
  <c r="AI110" i="10"/>
  <c r="AH111" i="10"/>
  <c r="AI111" i="10"/>
  <c r="AH113" i="10"/>
  <c r="AI113" i="10"/>
  <c r="AI4" i="10"/>
  <c r="B145" i="4"/>
  <c r="B144" i="4" s="1"/>
  <c r="A145" i="4"/>
  <c r="B141" i="4"/>
  <c r="B140" i="4"/>
  <c r="L130" i="4"/>
  <c r="K130" i="4"/>
  <c r="J130" i="4"/>
  <c r="D130" i="4"/>
  <c r="C130" i="4"/>
  <c r="L129" i="4"/>
  <c r="K129" i="4"/>
  <c r="J129" i="4"/>
  <c r="I129" i="4"/>
  <c r="D129" i="4"/>
  <c r="C129" i="4"/>
  <c r="B129" i="4"/>
  <c r="L128" i="4"/>
  <c r="K128" i="4"/>
  <c r="J128" i="4"/>
  <c r="I128" i="4"/>
  <c r="D128" i="4"/>
  <c r="C128" i="4"/>
  <c r="B128" i="4"/>
  <c r="L127" i="4"/>
  <c r="K127" i="4"/>
  <c r="J127" i="4"/>
  <c r="I127" i="4"/>
  <c r="D127" i="4"/>
  <c r="C127" i="4"/>
  <c r="L126" i="4"/>
  <c r="K126" i="4"/>
  <c r="J126" i="4"/>
  <c r="I126" i="4"/>
  <c r="D126" i="4"/>
  <c r="C126" i="4"/>
  <c r="L125" i="4"/>
  <c r="K125" i="4"/>
  <c r="J125" i="4"/>
  <c r="I125" i="4"/>
  <c r="D125" i="4"/>
  <c r="C125" i="4"/>
  <c r="L124" i="4"/>
  <c r="K124" i="4"/>
  <c r="J124" i="4"/>
  <c r="I124" i="4"/>
  <c r="D124" i="4"/>
  <c r="C124" i="4"/>
  <c r="L123" i="4"/>
  <c r="K123" i="4"/>
  <c r="J123" i="4"/>
  <c r="I123" i="4"/>
  <c r="D123" i="4"/>
  <c r="C123" i="4"/>
  <c r="D82" i="8"/>
  <c r="F127" i="4" l="1"/>
  <c r="F125" i="4"/>
  <c r="AF50" i="10" s="1"/>
  <c r="AK50" i="10" s="1"/>
  <c r="AO50" i="10" s="1"/>
  <c r="E126" i="4"/>
  <c r="AE82" i="10" s="1"/>
  <c r="AJ82" i="10" s="1"/>
  <c r="G75" i="9"/>
  <c r="E124" i="4"/>
  <c r="AE9" i="10" s="1"/>
  <c r="AJ9" i="10" s="1"/>
  <c r="E128" i="4"/>
  <c r="AE89" i="10" s="1"/>
  <c r="AJ89" i="10" s="1"/>
  <c r="F123" i="4"/>
  <c r="AF112" i="10" s="1"/>
  <c r="AK112" i="10" s="1"/>
  <c r="AF101" i="10"/>
  <c r="AK101" i="10" s="1"/>
  <c r="AF100" i="10"/>
  <c r="AK100" i="10" s="1"/>
  <c r="G124" i="4"/>
  <c r="AG37" i="10" s="1"/>
  <c r="AF99" i="10"/>
  <c r="AK99" i="10" s="1"/>
  <c r="AF97" i="10"/>
  <c r="AK97" i="10" s="1"/>
  <c r="AF96" i="10"/>
  <c r="AK96" i="10" s="1"/>
  <c r="AF95" i="10"/>
  <c r="AK95" i="10" s="1"/>
  <c r="F128" i="4"/>
  <c r="AF88" i="10" s="1"/>
  <c r="AK88" i="10" s="1"/>
  <c r="E129" i="4"/>
  <c r="AE106" i="10" s="1"/>
  <c r="AJ106" i="10" s="1"/>
  <c r="AF94" i="10"/>
  <c r="AK94" i="10" s="1"/>
  <c r="G128" i="4"/>
  <c r="AF93" i="10"/>
  <c r="AK93" i="10" s="1"/>
  <c r="G130" i="4"/>
  <c r="F130" i="4"/>
  <c r="AF111" i="10" s="1"/>
  <c r="AK111" i="10" s="1"/>
  <c r="AF42" i="10"/>
  <c r="AK42" i="10" s="1"/>
  <c r="AF56" i="10"/>
  <c r="AK56" i="10" s="1"/>
  <c r="AF43" i="10"/>
  <c r="AK43" i="10" s="1"/>
  <c r="AF41" i="10"/>
  <c r="AK41" i="10" s="1"/>
  <c r="AF58" i="10"/>
  <c r="AK58" i="10" s="1"/>
  <c r="AF46" i="10"/>
  <c r="AK46" i="10" s="1"/>
  <c r="AO46" i="10" s="1"/>
  <c r="AF54" i="10"/>
  <c r="AK54" i="10" s="1"/>
  <c r="AF53" i="10"/>
  <c r="AK53" i="10" s="1"/>
  <c r="A146" i="4"/>
  <c r="AF55" i="10"/>
  <c r="AK55" i="10" s="1"/>
  <c r="G126" i="4"/>
  <c r="AF48" i="10"/>
  <c r="AK48" i="10" s="1"/>
  <c r="F126" i="4"/>
  <c r="AF44" i="10"/>
  <c r="AK44" i="10" s="1"/>
  <c r="F124" i="4"/>
  <c r="AF40" i="10" s="1"/>
  <c r="AK40" i="10" s="1"/>
  <c r="G129" i="4"/>
  <c r="G127" i="4"/>
  <c r="F129" i="4"/>
  <c r="AF92" i="10"/>
  <c r="AK92" i="10" s="1"/>
  <c r="AF98" i="10"/>
  <c r="AK98" i="10" s="1"/>
  <c r="E130" i="4"/>
  <c r="G123" i="4"/>
  <c r="AG112" i="10" s="1"/>
  <c r="G125" i="4"/>
  <c r="B146" i="4"/>
  <c r="B147" i="4" s="1"/>
  <c r="B148" i="4" s="1"/>
  <c r="B149" i="4" s="1"/>
  <c r="B150" i="4" s="1"/>
  <c r="B151" i="4" s="1"/>
  <c r="B152" i="4" s="1"/>
  <c r="B153" i="4" s="1"/>
  <c r="B154" i="4" s="1"/>
  <c r="B155" i="4" s="1"/>
  <c r="B156" i="4" s="1"/>
  <c r="B157" i="4" s="1"/>
  <c r="B158" i="4" s="1"/>
  <c r="B159" i="4" s="1"/>
  <c r="B160" i="4" s="1"/>
  <c r="B161" i="4" s="1"/>
  <c r="B162" i="4" s="1"/>
  <c r="B163" i="4" s="1"/>
  <c r="B164" i="4" s="1"/>
  <c r="E123" i="4"/>
  <c r="AE112" i="10" s="1"/>
  <c r="AJ112" i="10" s="1"/>
  <c r="E125" i="4"/>
  <c r="AE62" i="10" s="1"/>
  <c r="AJ62" i="10" s="1"/>
  <c r="E127" i="4"/>
  <c r="AE80" i="10" l="1"/>
  <c r="AJ80" i="10" s="1"/>
  <c r="AE66" i="10"/>
  <c r="AJ66" i="10" s="1"/>
  <c r="AF47" i="10"/>
  <c r="AK47" i="10" s="1"/>
  <c r="AF59" i="10"/>
  <c r="AK59" i="10" s="1"/>
  <c r="AF51" i="10"/>
  <c r="AK51" i="10" s="1"/>
  <c r="AE78" i="10"/>
  <c r="AJ78" i="10" s="1"/>
  <c r="AN78" i="10" s="1"/>
  <c r="AE77" i="10"/>
  <c r="AJ77" i="10" s="1"/>
  <c r="AR77" i="10" s="1"/>
  <c r="AF60" i="10"/>
  <c r="AK60" i="10" s="1"/>
  <c r="AO60" i="10" s="1"/>
  <c r="AF57" i="10"/>
  <c r="AK57" i="10" s="1"/>
  <c r="AE72" i="10"/>
  <c r="AJ72" i="10" s="1"/>
  <c r="AF52" i="10"/>
  <c r="AK52" i="10" s="1"/>
  <c r="AO52" i="10" s="1"/>
  <c r="AF49" i="10"/>
  <c r="AK49" i="10" s="1"/>
  <c r="AO49" i="10" s="1"/>
  <c r="AE76" i="10"/>
  <c r="AJ76" i="10" s="1"/>
  <c r="AR76" i="10" s="1"/>
  <c r="AE74" i="10"/>
  <c r="AJ74" i="10" s="1"/>
  <c r="AN74" i="10" s="1"/>
  <c r="AE64" i="10"/>
  <c r="AJ64" i="10" s="1"/>
  <c r="AR64" i="10" s="1"/>
  <c r="AF45" i="10"/>
  <c r="AK45" i="10" s="1"/>
  <c r="AF61" i="10"/>
  <c r="AK61" i="10" s="1"/>
  <c r="AO61" i="10" s="1"/>
  <c r="AE75" i="10"/>
  <c r="AJ75" i="10" s="1"/>
  <c r="AN75" i="10" s="1"/>
  <c r="AE16" i="10"/>
  <c r="AJ16" i="10" s="1"/>
  <c r="AR16" i="10" s="1"/>
  <c r="AE65" i="10"/>
  <c r="AJ65" i="10" s="1"/>
  <c r="AN65" i="10" s="1"/>
  <c r="AE70" i="10"/>
  <c r="AJ70" i="10" s="1"/>
  <c r="AN70" i="10" s="1"/>
  <c r="AE68" i="10"/>
  <c r="AJ68" i="10" s="1"/>
  <c r="AN68" i="10" s="1"/>
  <c r="AE73" i="10"/>
  <c r="AJ73" i="10" s="1"/>
  <c r="AN73" i="10" s="1"/>
  <c r="AE69" i="10"/>
  <c r="AJ69" i="10" s="1"/>
  <c r="AR69" i="10" s="1"/>
  <c r="AE8" i="10"/>
  <c r="AJ8" i="10" s="1"/>
  <c r="AN8" i="10" s="1"/>
  <c r="AE4" i="10"/>
  <c r="AJ4" i="10" s="1"/>
  <c r="AN4" i="10" s="1"/>
  <c r="AE27" i="10"/>
  <c r="AJ27" i="10" s="1"/>
  <c r="AN27" i="10" s="1"/>
  <c r="AE86" i="10"/>
  <c r="AJ86" i="10" s="1"/>
  <c r="AN86" i="10" s="1"/>
  <c r="AE12" i="10"/>
  <c r="AJ12" i="10" s="1"/>
  <c r="AN12" i="10" s="1"/>
  <c r="AE71" i="10"/>
  <c r="AJ71" i="10" s="1"/>
  <c r="AN71" i="10" s="1"/>
  <c r="AE35" i="10"/>
  <c r="AJ35" i="10" s="1"/>
  <c r="AN35" i="10" s="1"/>
  <c r="AE19" i="10"/>
  <c r="AJ19" i="10" s="1"/>
  <c r="AR19" i="10" s="1"/>
  <c r="AE87" i="10"/>
  <c r="AJ87" i="10" s="1"/>
  <c r="AN87" i="10" s="1"/>
  <c r="AE23" i="10"/>
  <c r="AJ23" i="10" s="1"/>
  <c r="AN23" i="10" s="1"/>
  <c r="AE13" i="10"/>
  <c r="AJ13" i="10" s="1"/>
  <c r="AR13" i="10" s="1"/>
  <c r="AE32" i="10"/>
  <c r="AJ32" i="10" s="1"/>
  <c r="AN32" i="10" s="1"/>
  <c r="AE36" i="10"/>
  <c r="AJ36" i="10" s="1"/>
  <c r="AN36" i="10" s="1"/>
  <c r="AE33" i="10"/>
  <c r="AJ33" i="10" s="1"/>
  <c r="AR33" i="10" s="1"/>
  <c r="AE14" i="10"/>
  <c r="AJ14" i="10" s="1"/>
  <c r="AN14" i="10" s="1"/>
  <c r="AE81" i="10"/>
  <c r="AJ81" i="10" s="1"/>
  <c r="AN81" i="10" s="1"/>
  <c r="AE15" i="10"/>
  <c r="AJ15" i="10" s="1"/>
  <c r="AN15" i="10" s="1"/>
  <c r="AE29" i="10"/>
  <c r="AJ29" i="10" s="1"/>
  <c r="AN29" i="10" s="1"/>
  <c r="AE38" i="10"/>
  <c r="AJ38" i="10" s="1"/>
  <c r="AN38" i="10" s="1"/>
  <c r="AE67" i="10"/>
  <c r="AJ67" i="10" s="1"/>
  <c r="AN67" i="10" s="1"/>
  <c r="AE79" i="10"/>
  <c r="AJ79" i="10" s="1"/>
  <c r="AR79" i="10" s="1"/>
  <c r="AE63" i="10"/>
  <c r="AJ63" i="10" s="1"/>
  <c r="AR63" i="10" s="1"/>
  <c r="AE83" i="10"/>
  <c r="AJ83" i="10" s="1"/>
  <c r="AN83" i="10" s="1"/>
  <c r="AE39" i="10"/>
  <c r="AJ39" i="10" s="1"/>
  <c r="AN39" i="10" s="1"/>
  <c r="AE11" i="10"/>
  <c r="AJ11" i="10" s="1"/>
  <c r="AN11" i="10" s="1"/>
  <c r="AE17" i="10"/>
  <c r="AJ17" i="10" s="1"/>
  <c r="AN17" i="10" s="1"/>
  <c r="AE37" i="10"/>
  <c r="AJ37" i="10" s="1"/>
  <c r="AN37" i="10" s="1"/>
  <c r="AE6" i="10"/>
  <c r="AJ6" i="10" s="1"/>
  <c r="AN6" i="10" s="1"/>
  <c r="AE25" i="10"/>
  <c r="AJ25" i="10" s="1"/>
  <c r="AN25" i="10" s="1"/>
  <c r="AE22" i="10"/>
  <c r="AJ22" i="10" s="1"/>
  <c r="AN22" i="10" s="1"/>
  <c r="AE88" i="10"/>
  <c r="AJ88" i="10" s="1"/>
  <c r="AF113" i="10"/>
  <c r="AK113" i="10" s="1"/>
  <c r="AO113" i="10" s="1"/>
  <c r="AE30" i="10"/>
  <c r="AJ30" i="10" s="1"/>
  <c r="AN30" i="10" s="1"/>
  <c r="AE10" i="10"/>
  <c r="AJ10" i="10" s="1"/>
  <c r="AN10" i="10" s="1"/>
  <c r="AE5" i="10"/>
  <c r="AJ5" i="10" s="1"/>
  <c r="AN5" i="10" s="1"/>
  <c r="AE20" i="10"/>
  <c r="AJ20" i="10" s="1"/>
  <c r="AN20" i="10" s="1"/>
  <c r="AE34" i="10"/>
  <c r="AJ34" i="10" s="1"/>
  <c r="AN34" i="10" s="1"/>
  <c r="AE28" i="10"/>
  <c r="AJ28" i="10" s="1"/>
  <c r="AN28" i="10" s="1"/>
  <c r="AE18" i="10"/>
  <c r="AJ18" i="10" s="1"/>
  <c r="AN18" i="10" s="1"/>
  <c r="AE26" i="10"/>
  <c r="AJ26" i="10" s="1"/>
  <c r="AN26" i="10" s="1"/>
  <c r="AE85" i="10"/>
  <c r="AJ85" i="10" s="1"/>
  <c r="AR85" i="10" s="1"/>
  <c r="AE7" i="10"/>
  <c r="AJ7" i="10" s="1"/>
  <c r="AN7" i="10" s="1"/>
  <c r="AE24" i="10"/>
  <c r="AJ24" i="10" s="1"/>
  <c r="AR24" i="10" s="1"/>
  <c r="AE31" i="10"/>
  <c r="AJ31" i="10" s="1"/>
  <c r="AN31" i="10" s="1"/>
  <c r="AE84" i="10"/>
  <c r="AJ84" i="10" s="1"/>
  <c r="AR84" i="10" s="1"/>
  <c r="AE21" i="10"/>
  <c r="AJ21" i="10" s="1"/>
  <c r="AN21" i="10" s="1"/>
  <c r="AG7" i="10"/>
  <c r="AG11" i="10"/>
  <c r="AG31" i="10"/>
  <c r="AF90" i="10"/>
  <c r="AK90" i="10" s="1"/>
  <c r="AO90" i="10" s="1"/>
  <c r="AF91" i="10"/>
  <c r="AK91" i="10" s="1"/>
  <c r="AS91" i="10" s="1"/>
  <c r="AG20" i="10"/>
  <c r="AO112" i="10"/>
  <c r="AS112" i="10"/>
  <c r="AG32" i="10"/>
  <c r="AR112" i="10"/>
  <c r="AN112" i="10"/>
  <c r="AF84" i="10"/>
  <c r="AK84" i="10" s="1"/>
  <c r="AO84" i="10" s="1"/>
  <c r="AS46" i="10"/>
  <c r="AG33" i="10"/>
  <c r="AG13" i="10"/>
  <c r="AG26" i="10"/>
  <c r="AG6" i="10"/>
  <c r="AG4" i="10"/>
  <c r="AG24" i="10"/>
  <c r="AG15" i="10"/>
  <c r="AG28" i="10"/>
  <c r="AG21" i="10"/>
  <c r="AG8" i="10"/>
  <c r="AG17" i="10"/>
  <c r="AG34" i="10"/>
  <c r="AG14" i="10"/>
  <c r="AG18" i="10"/>
  <c r="AG27" i="10"/>
  <c r="AE103" i="10"/>
  <c r="AJ103" i="10" s="1"/>
  <c r="AN103" i="10" s="1"/>
  <c r="AE104" i="10"/>
  <c r="AJ104" i="10" s="1"/>
  <c r="AN104" i="10" s="1"/>
  <c r="AE102" i="10"/>
  <c r="AJ102" i="10" s="1"/>
  <c r="AN102" i="10" s="1"/>
  <c r="AG81" i="10"/>
  <c r="AG88" i="10"/>
  <c r="AG87" i="10"/>
  <c r="AG86" i="10"/>
  <c r="AG84" i="10"/>
  <c r="AG89" i="10"/>
  <c r="AF85" i="10"/>
  <c r="AK85" i="10" s="1"/>
  <c r="AO85" i="10" s="1"/>
  <c r="AE105" i="10"/>
  <c r="AJ105" i="10" s="1"/>
  <c r="AN105" i="10" s="1"/>
  <c r="AG82" i="10"/>
  <c r="AF86" i="10"/>
  <c r="AK86" i="10" s="1"/>
  <c r="AG83" i="10"/>
  <c r="AF81" i="10"/>
  <c r="AK81" i="10" s="1"/>
  <c r="AS81" i="10" s="1"/>
  <c r="AG85" i="10"/>
  <c r="AF87" i="10"/>
  <c r="AK87" i="10" s="1"/>
  <c r="AO87" i="10" s="1"/>
  <c r="AF89" i="10"/>
  <c r="AK89" i="10" s="1"/>
  <c r="AO89" i="10" s="1"/>
  <c r="AF83" i="10"/>
  <c r="AK83" i="10" s="1"/>
  <c r="AS83" i="10" s="1"/>
  <c r="AF82" i="10"/>
  <c r="AK82" i="10" s="1"/>
  <c r="AO82" i="10" s="1"/>
  <c r="AG36" i="10"/>
  <c r="AG22" i="10"/>
  <c r="AE107" i="10"/>
  <c r="AJ107" i="10" s="1"/>
  <c r="AN107" i="10" s="1"/>
  <c r="AG30" i="10"/>
  <c r="AG39" i="10"/>
  <c r="AG10" i="10"/>
  <c r="AG19" i="10"/>
  <c r="AG23" i="10"/>
  <c r="AG12" i="10"/>
  <c r="AG16" i="10"/>
  <c r="AG25" i="10"/>
  <c r="AG29" i="10"/>
  <c r="AG5" i="10"/>
  <c r="AG9" i="10"/>
  <c r="AG38" i="10"/>
  <c r="AG35" i="10"/>
  <c r="AE90" i="10"/>
  <c r="AJ90" i="10" s="1"/>
  <c r="AR90" i="10" s="1"/>
  <c r="AE97" i="10"/>
  <c r="AJ97" i="10" s="1"/>
  <c r="AN97" i="10" s="1"/>
  <c r="AE96" i="10"/>
  <c r="AJ96" i="10" s="1"/>
  <c r="AN96" i="10" s="1"/>
  <c r="AE98" i="10"/>
  <c r="AJ98" i="10" s="1"/>
  <c r="AN98" i="10" s="1"/>
  <c r="AE99" i="10"/>
  <c r="AJ99" i="10" s="1"/>
  <c r="AN99" i="10" s="1"/>
  <c r="AE93" i="10"/>
  <c r="AJ93" i="10" s="1"/>
  <c r="AN93" i="10" s="1"/>
  <c r="AE101" i="10"/>
  <c r="AJ101" i="10" s="1"/>
  <c r="AN101" i="10" s="1"/>
  <c r="AE100" i="10"/>
  <c r="AJ100" i="10" s="1"/>
  <c r="AR100" i="10" s="1"/>
  <c r="AE92" i="10"/>
  <c r="AJ92" i="10" s="1"/>
  <c r="AR92" i="10" s="1"/>
  <c r="AE94" i="10"/>
  <c r="AJ94" i="10" s="1"/>
  <c r="AR94" i="10" s="1"/>
  <c r="AE91" i="10"/>
  <c r="AJ91" i="10" s="1"/>
  <c r="AE95" i="10"/>
  <c r="AJ95" i="10" s="1"/>
  <c r="AG55" i="10"/>
  <c r="AG49" i="10"/>
  <c r="AG43" i="10"/>
  <c r="AG50" i="10"/>
  <c r="AG42" i="10"/>
  <c r="AG56" i="10"/>
  <c r="AG44" i="10"/>
  <c r="AG52" i="10"/>
  <c r="AG46" i="10"/>
  <c r="AG53" i="10"/>
  <c r="AG51" i="10"/>
  <c r="AG40" i="10"/>
  <c r="AG60" i="10"/>
  <c r="AG54" i="10"/>
  <c r="AG58" i="10"/>
  <c r="AG45" i="10"/>
  <c r="AG59" i="10"/>
  <c r="AG47" i="10"/>
  <c r="AG41" i="10"/>
  <c r="AG48" i="10"/>
  <c r="AG57" i="10"/>
  <c r="AG61" i="10"/>
  <c r="AE49" i="10"/>
  <c r="AJ49" i="10" s="1"/>
  <c r="AN49" i="10" s="1"/>
  <c r="AE50" i="10"/>
  <c r="AJ50" i="10" s="1"/>
  <c r="AN50" i="10" s="1"/>
  <c r="AE57" i="10"/>
  <c r="AJ57" i="10" s="1"/>
  <c r="AN57" i="10" s="1"/>
  <c r="AE44" i="10"/>
  <c r="AJ44" i="10" s="1"/>
  <c r="AE56" i="10"/>
  <c r="AJ56" i="10" s="1"/>
  <c r="AR56" i="10" s="1"/>
  <c r="AE43" i="10"/>
  <c r="AJ43" i="10" s="1"/>
  <c r="AR43" i="10" s="1"/>
  <c r="AE58" i="10"/>
  <c r="AJ58" i="10" s="1"/>
  <c r="AN58" i="10" s="1"/>
  <c r="AE59" i="10"/>
  <c r="AJ59" i="10" s="1"/>
  <c r="AR59" i="10" s="1"/>
  <c r="AE53" i="10"/>
  <c r="AJ53" i="10" s="1"/>
  <c r="AR53" i="10" s="1"/>
  <c r="AE41" i="10"/>
  <c r="AJ41" i="10" s="1"/>
  <c r="AN41" i="10" s="1"/>
  <c r="AE45" i="10"/>
  <c r="AJ45" i="10" s="1"/>
  <c r="AR45" i="10" s="1"/>
  <c r="AE46" i="10"/>
  <c r="AJ46" i="10" s="1"/>
  <c r="AR46" i="10" s="1"/>
  <c r="AE40" i="10"/>
  <c r="AJ40" i="10" s="1"/>
  <c r="AN40" i="10" s="1"/>
  <c r="AE60" i="10"/>
  <c r="AJ60" i="10" s="1"/>
  <c r="AN60" i="10" s="1"/>
  <c r="AE52" i="10"/>
  <c r="AJ52" i="10" s="1"/>
  <c r="AN52" i="10" s="1"/>
  <c r="AE47" i="10"/>
  <c r="AJ47" i="10" s="1"/>
  <c r="AE54" i="10"/>
  <c r="AJ54" i="10" s="1"/>
  <c r="AE61" i="10"/>
  <c r="AJ61" i="10" s="1"/>
  <c r="AR61" i="10" s="1"/>
  <c r="AE48" i="10"/>
  <c r="AJ48" i="10" s="1"/>
  <c r="AE42" i="10"/>
  <c r="AJ42" i="10" s="1"/>
  <c r="AN42" i="10" s="1"/>
  <c r="AE51" i="10"/>
  <c r="AJ51" i="10" s="1"/>
  <c r="AN51" i="10" s="1"/>
  <c r="AE55" i="10"/>
  <c r="AJ55" i="10" s="1"/>
  <c r="AN55" i="10" s="1"/>
  <c r="AG110" i="10"/>
  <c r="AG109" i="10"/>
  <c r="AG108" i="10"/>
  <c r="AF109" i="10"/>
  <c r="AK109" i="10" s="1"/>
  <c r="AO109" i="10" s="1"/>
  <c r="AF110" i="10"/>
  <c r="AK110" i="10" s="1"/>
  <c r="AO110" i="10" s="1"/>
  <c r="AF108" i="10"/>
  <c r="AK108" i="10" s="1"/>
  <c r="AO108" i="10" s="1"/>
  <c r="AE113" i="10"/>
  <c r="AJ113" i="10" s="1"/>
  <c r="AR113" i="10" s="1"/>
  <c r="AE111" i="10"/>
  <c r="AJ111" i="10" s="1"/>
  <c r="AN111" i="10" s="1"/>
  <c r="AG75" i="10"/>
  <c r="AG70" i="10"/>
  <c r="AG62" i="10"/>
  <c r="AG69" i="10"/>
  <c r="AG76" i="10"/>
  <c r="AG63" i="10"/>
  <c r="AG64" i="10"/>
  <c r="AG72" i="10"/>
  <c r="AG66" i="10"/>
  <c r="AG67" i="10"/>
  <c r="AG71" i="10"/>
  <c r="AG65" i="10"/>
  <c r="AG73" i="10"/>
  <c r="AG80" i="10"/>
  <c r="AG74" i="10"/>
  <c r="AG78" i="10"/>
  <c r="AG79" i="10"/>
  <c r="AG68" i="10"/>
  <c r="AG77" i="10"/>
  <c r="AF22" i="10"/>
  <c r="AK22" i="10" s="1"/>
  <c r="AF36" i="10"/>
  <c r="AK36" i="10" s="1"/>
  <c r="AO36" i="10" s="1"/>
  <c r="AF23" i="10"/>
  <c r="AK23" i="10" s="1"/>
  <c r="AO23" i="10" s="1"/>
  <c r="AF30" i="10"/>
  <c r="AK30" i="10" s="1"/>
  <c r="AO30" i="10" s="1"/>
  <c r="AF9" i="10"/>
  <c r="AK9" i="10" s="1"/>
  <c r="AO9" i="10" s="1"/>
  <c r="AF29" i="10"/>
  <c r="AK29" i="10" s="1"/>
  <c r="AO29" i="10" s="1"/>
  <c r="AF16" i="10"/>
  <c r="AK16" i="10" s="1"/>
  <c r="AF10" i="10"/>
  <c r="AK10" i="10" s="1"/>
  <c r="AF17" i="10"/>
  <c r="AK17" i="10" s="1"/>
  <c r="AO17" i="10" s="1"/>
  <c r="AF37" i="10"/>
  <c r="AK37" i="10" s="1"/>
  <c r="AO37" i="10" s="1"/>
  <c r="AF11" i="10"/>
  <c r="AK11" i="10" s="1"/>
  <c r="AO11" i="10" s="1"/>
  <c r="AF31" i="10"/>
  <c r="AK31" i="10" s="1"/>
  <c r="AS31" i="10" s="1"/>
  <c r="AF7" i="10"/>
  <c r="AK7" i="10" s="1"/>
  <c r="AO7" i="10" s="1"/>
  <c r="AF27" i="10"/>
  <c r="AK27" i="10" s="1"/>
  <c r="AO27" i="10" s="1"/>
  <c r="AF21" i="10"/>
  <c r="AK21" i="10" s="1"/>
  <c r="AS21" i="10" s="1"/>
  <c r="AF18" i="10"/>
  <c r="AK18" i="10" s="1"/>
  <c r="AO18" i="10" s="1"/>
  <c r="AF38" i="10"/>
  <c r="AK38" i="10" s="1"/>
  <c r="AS38" i="10" s="1"/>
  <c r="AF12" i="10"/>
  <c r="AK12" i="10" s="1"/>
  <c r="AO12" i="10" s="1"/>
  <c r="AF32" i="10"/>
  <c r="AK32" i="10" s="1"/>
  <c r="AO32" i="10" s="1"/>
  <c r="AF19" i="10"/>
  <c r="AK19" i="10" s="1"/>
  <c r="AF6" i="10"/>
  <c r="AK6" i="10" s="1"/>
  <c r="AF26" i="10"/>
  <c r="AK26" i="10" s="1"/>
  <c r="AF20" i="10"/>
  <c r="AK20" i="10" s="1"/>
  <c r="AS20" i="10" s="1"/>
  <c r="AF5" i="10"/>
  <c r="AK5" i="10" s="1"/>
  <c r="AO5" i="10" s="1"/>
  <c r="AF25" i="10"/>
  <c r="AK25" i="10" s="1"/>
  <c r="AO25" i="10" s="1"/>
  <c r="AF39" i="10"/>
  <c r="AK39" i="10" s="1"/>
  <c r="AO39" i="10" s="1"/>
  <c r="AF13" i="10"/>
  <c r="AK13" i="10" s="1"/>
  <c r="AF33" i="10"/>
  <c r="AK33" i="10" s="1"/>
  <c r="AF4" i="10"/>
  <c r="AK4" i="10" s="1"/>
  <c r="AS4" i="10" s="1"/>
  <c r="AF14" i="10"/>
  <c r="AK14" i="10" s="1"/>
  <c r="AO14" i="10" s="1"/>
  <c r="AF34" i="10"/>
  <c r="AK34" i="10" s="1"/>
  <c r="AO34" i="10" s="1"/>
  <c r="AF8" i="10"/>
  <c r="AK8" i="10" s="1"/>
  <c r="AO8" i="10" s="1"/>
  <c r="AF15" i="10"/>
  <c r="AK15" i="10" s="1"/>
  <c r="AO15" i="10" s="1"/>
  <c r="AF35" i="10"/>
  <c r="AK35" i="10" s="1"/>
  <c r="AO35" i="10" s="1"/>
  <c r="AF24" i="10"/>
  <c r="AK24" i="10" s="1"/>
  <c r="AS24" i="10" s="1"/>
  <c r="AF28" i="10"/>
  <c r="AK28" i="10" s="1"/>
  <c r="AO28" i="10" s="1"/>
  <c r="A147" i="4"/>
  <c r="AG95" i="10"/>
  <c r="AG90" i="10"/>
  <c r="AG96" i="10"/>
  <c r="AG91" i="10"/>
  <c r="AG92" i="10"/>
  <c r="AG100" i="10"/>
  <c r="AG98" i="10"/>
  <c r="AG99" i="10"/>
  <c r="AG93" i="10"/>
  <c r="AG101" i="10"/>
  <c r="AG97" i="10"/>
  <c r="AG94" i="10"/>
  <c r="AE109" i="10"/>
  <c r="AJ109" i="10" s="1"/>
  <c r="AN109" i="10" s="1"/>
  <c r="AE110" i="10"/>
  <c r="AJ110" i="10" s="1"/>
  <c r="AR110" i="10" s="1"/>
  <c r="AE108" i="10"/>
  <c r="AJ108" i="10" s="1"/>
  <c r="AF102" i="10"/>
  <c r="AK102" i="10" s="1"/>
  <c r="AS102" i="10" s="1"/>
  <c r="AF103" i="10"/>
  <c r="AK103" i="10" s="1"/>
  <c r="AO103" i="10" s="1"/>
  <c r="AF107" i="10"/>
  <c r="AK107" i="10" s="1"/>
  <c r="AO107" i="10" s="1"/>
  <c r="AF106" i="10"/>
  <c r="AK106" i="10" s="1"/>
  <c r="AF105" i="10"/>
  <c r="AK105" i="10" s="1"/>
  <c r="AS105" i="10" s="1"/>
  <c r="AF104" i="10"/>
  <c r="AK104" i="10" s="1"/>
  <c r="AO104" i="10" s="1"/>
  <c r="AG111" i="10"/>
  <c r="AG113" i="10"/>
  <c r="AF62" i="10"/>
  <c r="AK62" i="10" s="1"/>
  <c r="AS62" i="10" s="1"/>
  <c r="AF76" i="10"/>
  <c r="AK76" i="10" s="1"/>
  <c r="AS76" i="10" s="1"/>
  <c r="AF63" i="10"/>
  <c r="AK63" i="10" s="1"/>
  <c r="AO63" i="10" s="1"/>
  <c r="AF70" i="10"/>
  <c r="AK70" i="10" s="1"/>
  <c r="AO70" i="10" s="1"/>
  <c r="AF69" i="10"/>
  <c r="AK69" i="10" s="1"/>
  <c r="AO69" i="10" s="1"/>
  <c r="AF77" i="10"/>
  <c r="AK77" i="10" s="1"/>
  <c r="AO77" i="10" s="1"/>
  <c r="AF71" i="10"/>
  <c r="AK71" i="10" s="1"/>
  <c r="AO71" i="10" s="1"/>
  <c r="AF80" i="10"/>
  <c r="AK80" i="10" s="1"/>
  <c r="AO80" i="10" s="1"/>
  <c r="AF67" i="10"/>
  <c r="AK67" i="10" s="1"/>
  <c r="AO67" i="10" s="1"/>
  <c r="AF78" i="10"/>
  <c r="AK78" i="10" s="1"/>
  <c r="AO78" i="10" s="1"/>
  <c r="AF66" i="10"/>
  <c r="AK66" i="10" s="1"/>
  <c r="AF74" i="10"/>
  <c r="AK74" i="10" s="1"/>
  <c r="AO74" i="10" s="1"/>
  <c r="AF65" i="10"/>
  <c r="AK65" i="10" s="1"/>
  <c r="AS65" i="10" s="1"/>
  <c r="AF72" i="10"/>
  <c r="AK72" i="10" s="1"/>
  <c r="AO72" i="10" s="1"/>
  <c r="AF79" i="10"/>
  <c r="AK79" i="10" s="1"/>
  <c r="AS79" i="10" s="1"/>
  <c r="AF73" i="10"/>
  <c r="AK73" i="10" s="1"/>
  <c r="AO73" i="10" s="1"/>
  <c r="AF75" i="10"/>
  <c r="AK75" i="10" s="1"/>
  <c r="AF64" i="10"/>
  <c r="AK64" i="10" s="1"/>
  <c r="AS64" i="10" s="1"/>
  <c r="AF68" i="10"/>
  <c r="AK68" i="10" s="1"/>
  <c r="AS68" i="10" s="1"/>
  <c r="AG103" i="10"/>
  <c r="AG102" i="10"/>
  <c r="AG104" i="10"/>
  <c r="AG106" i="10"/>
  <c r="AG105" i="10"/>
  <c r="AG107" i="10"/>
  <c r="AS50" i="10"/>
  <c r="AN82" i="10"/>
  <c r="AR82" i="10"/>
  <c r="AO41" i="10"/>
  <c r="AS41" i="10"/>
  <c r="AO40" i="10"/>
  <c r="AS40" i="10"/>
  <c r="AO57" i="10"/>
  <c r="AS57" i="10"/>
  <c r="AO100" i="10"/>
  <c r="AS100" i="10"/>
  <c r="AO96" i="10"/>
  <c r="AS96" i="10"/>
  <c r="AN77" i="10"/>
  <c r="AO93" i="10"/>
  <c r="AS93" i="10"/>
  <c r="AO94" i="10"/>
  <c r="AS94" i="10"/>
  <c r="AO101" i="10"/>
  <c r="AS101" i="10"/>
  <c r="AR86" i="10"/>
  <c r="AO47" i="10"/>
  <c r="AS47" i="10"/>
  <c r="AO88" i="10"/>
  <c r="AS88" i="10"/>
  <c r="AO48" i="10"/>
  <c r="AS48" i="10"/>
  <c r="AN62" i="10"/>
  <c r="AR62" i="10"/>
  <c r="AN33" i="10"/>
  <c r="AO54" i="10"/>
  <c r="AS54" i="10"/>
  <c r="AN80" i="10"/>
  <c r="AR80" i="10"/>
  <c r="AN89" i="10"/>
  <c r="AR89" i="10"/>
  <c r="AN106" i="10"/>
  <c r="AR106" i="10"/>
  <c r="AN66" i="10"/>
  <c r="AR66" i="10"/>
  <c r="AO44" i="10"/>
  <c r="AS44" i="10"/>
  <c r="AN9" i="10"/>
  <c r="AR9" i="10"/>
  <c r="AO92" i="10"/>
  <c r="AS92" i="10"/>
  <c r="AO56" i="10"/>
  <c r="AS56" i="10"/>
  <c r="AO43" i="10"/>
  <c r="AS43" i="10"/>
  <c r="AO97" i="10"/>
  <c r="AS97" i="10"/>
  <c r="AR23" i="10"/>
  <c r="AN72" i="10"/>
  <c r="AR72" i="10"/>
  <c r="AO59" i="10"/>
  <c r="AS59" i="10"/>
  <c r="AS52" i="10"/>
  <c r="AO51" i="10"/>
  <c r="AS51" i="10"/>
  <c r="AN63" i="10"/>
  <c r="AO99" i="10"/>
  <c r="AS99" i="10"/>
  <c r="AN64" i="10"/>
  <c r="AO58" i="10"/>
  <c r="AS58" i="10"/>
  <c r="AO42" i="10"/>
  <c r="AS42" i="10"/>
  <c r="AO55" i="10"/>
  <c r="AS55" i="10"/>
  <c r="AO45" i="10"/>
  <c r="AS45" i="10"/>
  <c r="AO98" i="10"/>
  <c r="AS98" i="10"/>
  <c r="AO95" i="10"/>
  <c r="AS95" i="10"/>
  <c r="AO53" i="10"/>
  <c r="AS53" i="10"/>
  <c r="AO111" i="10"/>
  <c r="AS111" i="10"/>
  <c r="AR65" i="10" l="1"/>
  <c r="AR29" i="10"/>
  <c r="AR75" i="10"/>
  <c r="AR78" i="10"/>
  <c r="AR32" i="10"/>
  <c r="AS49" i="10"/>
  <c r="AN69" i="10"/>
  <c r="AR71" i="10"/>
  <c r="AR39" i="10"/>
  <c r="AR22" i="10"/>
  <c r="AR34" i="10"/>
  <c r="AN76" i="10"/>
  <c r="AN24" i="10"/>
  <c r="AR74" i="10"/>
  <c r="AS60" i="10"/>
  <c r="AN16" i="10"/>
  <c r="AR4" i="10"/>
  <c r="AN19" i="10"/>
  <c r="AR11" i="10"/>
  <c r="AS61" i="10"/>
  <c r="AN13" i="10"/>
  <c r="AR68" i="10"/>
  <c r="AR81" i="10"/>
  <c r="AR15" i="10"/>
  <c r="AR12" i="10"/>
  <c r="AR73" i="10"/>
  <c r="AN85" i="10"/>
  <c r="AR70" i="10"/>
  <c r="AR87" i="10"/>
  <c r="AR35" i="10"/>
  <c r="AN79" i="10"/>
  <c r="AR14" i="10"/>
  <c r="AR28" i="10"/>
  <c r="AR17" i="10"/>
  <c r="AR8" i="10"/>
  <c r="AR37" i="10"/>
  <c r="AR36" i="10"/>
  <c r="AR38" i="10"/>
  <c r="AR20" i="10"/>
  <c r="AR7" i="10"/>
  <c r="AR27" i="10"/>
  <c r="AO81" i="10"/>
  <c r="AR25" i="10"/>
  <c r="AR57" i="10"/>
  <c r="AR5" i="10"/>
  <c r="AS110" i="10"/>
  <c r="AR83" i="10"/>
  <c r="AS7" i="10"/>
  <c r="AR67" i="10"/>
  <c r="AR21" i="10"/>
  <c r="AO91" i="10"/>
  <c r="AR105" i="10"/>
  <c r="AN84" i="10"/>
  <c r="AR30" i="10"/>
  <c r="AS90" i="10"/>
  <c r="AR18" i="10"/>
  <c r="AR88" i="10"/>
  <c r="AN88" i="10"/>
  <c r="AR6" i="10"/>
  <c r="AR26" i="10"/>
  <c r="AS113" i="10"/>
  <c r="AR31" i="10"/>
  <c r="AR10" i="10"/>
  <c r="AN43" i="10"/>
  <c r="AS84" i="10"/>
  <c r="AS63" i="10"/>
  <c r="AS39" i="10"/>
  <c r="AS109" i="10"/>
  <c r="AN56" i="10"/>
  <c r="AS17" i="10"/>
  <c r="AN100" i="10"/>
  <c r="AS103" i="10"/>
  <c r="AS37" i="10"/>
  <c r="AS89" i="10"/>
  <c r="AS18" i="10"/>
  <c r="AO4" i="10"/>
  <c r="AS35" i="10"/>
  <c r="AN113" i="10"/>
  <c r="AS107" i="10"/>
  <c r="AR109" i="10"/>
  <c r="AO24" i="10"/>
  <c r="AO83" i="10"/>
  <c r="AN110" i="10"/>
  <c r="AS78" i="10"/>
  <c r="AN59" i="10"/>
  <c r="AN61" i="10"/>
  <c r="AO21" i="10"/>
  <c r="AS82" i="10"/>
  <c r="AS87" i="10"/>
  <c r="AO31" i="10"/>
  <c r="AS85" i="10"/>
  <c r="AS14" i="10"/>
  <c r="AR102" i="10"/>
  <c r="AR111" i="10"/>
  <c r="AS73" i="10"/>
  <c r="AR58" i="10"/>
  <c r="AR96" i="10"/>
  <c r="AO68" i="10"/>
  <c r="AR103" i="10"/>
  <c r="AR98" i="10"/>
  <c r="AR97" i="10"/>
  <c r="AS108" i="10"/>
  <c r="AS12" i="10"/>
  <c r="AR93" i="10"/>
  <c r="AO65" i="10"/>
  <c r="AS11" i="10"/>
  <c r="AS34" i="10"/>
  <c r="AO38" i="10"/>
  <c r="AS8" i="10"/>
  <c r="AR42" i="10"/>
  <c r="AN46" i="10"/>
  <c r="AS36" i="10"/>
  <c r="AO76" i="10"/>
  <c r="AS23" i="10"/>
  <c r="AS30" i="10"/>
  <c r="AN45" i="10"/>
  <c r="AO62" i="10"/>
  <c r="AR99" i="10"/>
  <c r="AR40" i="10"/>
  <c r="AS5" i="10"/>
  <c r="AS15" i="10"/>
  <c r="AS27" i="10"/>
  <c r="AR49" i="10"/>
  <c r="AS28" i="10"/>
  <c r="AR41" i="10"/>
  <c r="AR104" i="10"/>
  <c r="AN53" i="10"/>
  <c r="AN90" i="10"/>
  <c r="AO20" i="10"/>
  <c r="AR107" i="10"/>
  <c r="AS70" i="10"/>
  <c r="AO86" i="10"/>
  <c r="AS86" i="10"/>
  <c r="AN94" i="10"/>
  <c r="AS80" i="10"/>
  <c r="AS19" i="10"/>
  <c r="AO19" i="10"/>
  <c r="AN44" i="10"/>
  <c r="AR44" i="10"/>
  <c r="AO64" i="10"/>
  <c r="AO33" i="10"/>
  <c r="AS33" i="10"/>
  <c r="AS13" i="10"/>
  <c r="AO13" i="10"/>
  <c r="AN95" i="10"/>
  <c r="AR95" i="10"/>
  <c r="AN54" i="10"/>
  <c r="AR54" i="10"/>
  <c r="AN91" i="10"/>
  <c r="AR91" i="10"/>
  <c r="AO6" i="10"/>
  <c r="AS6" i="10"/>
  <c r="AO75" i="10"/>
  <c r="AS75" i="10"/>
  <c r="AO10" i="10"/>
  <c r="AS10" i="10"/>
  <c r="AO16" i="10"/>
  <c r="AS16" i="10"/>
  <c r="AN47" i="10"/>
  <c r="AR47" i="10"/>
  <c r="AS104" i="10"/>
  <c r="A148" i="4"/>
  <c r="A149" i="4" s="1"/>
  <c r="A150" i="4" s="1"/>
  <c r="A151" i="4" s="1"/>
  <c r="A152" i="4" s="1"/>
  <c r="A153" i="4" s="1"/>
  <c r="A154" i="4" s="1"/>
  <c r="A155" i="4" s="1"/>
  <c r="A156" i="4" s="1"/>
  <c r="A157" i="4" s="1"/>
  <c r="A158" i="4" s="1"/>
  <c r="A159" i="4" s="1"/>
  <c r="A160" i="4" s="1"/>
  <c r="A161" i="4" s="1"/>
  <c r="A162" i="4" s="1"/>
  <c r="A163" i="4" s="1"/>
  <c r="A164" i="4" s="1"/>
  <c r="AN108" i="10"/>
  <c r="AR108" i="10"/>
  <c r="AO66" i="10"/>
  <c r="AS66" i="10"/>
  <c r="AO22" i="10"/>
  <c r="AS22" i="10"/>
  <c r="AO105" i="10"/>
  <c r="AS77" i="10"/>
  <c r="AS25" i="10"/>
  <c r="AS67" i="10"/>
  <c r="AO79" i="10"/>
  <c r="AN92" i="10"/>
  <c r="AS69" i="10"/>
  <c r="AR50" i="10"/>
  <c r="AR101" i="10"/>
  <c r="AS71" i="10"/>
  <c r="AO102" i="10"/>
  <c r="AS74" i="10"/>
  <c r="AR60" i="10"/>
  <c r="AR51" i="10"/>
  <c r="AR55" i="10"/>
  <c r="AS9" i="10"/>
  <c r="AS32" i="10"/>
  <c r="AS72" i="10"/>
  <c r="AS29" i="10"/>
  <c r="AR52" i="10"/>
  <c r="AN48" i="10"/>
  <c r="AR48" i="10"/>
  <c r="AO106" i="10"/>
  <c r="AS106" i="10"/>
  <c r="AO26" i="10"/>
  <c r="AS26" i="10"/>
  <c r="E95" i="12"/>
  <c r="I95" i="12" s="1"/>
  <c r="E96" i="12"/>
  <c r="I96" i="12" s="1"/>
  <c r="E94" i="12"/>
  <c r="I94" i="12" s="1"/>
  <c r="E92" i="12"/>
  <c r="I92" i="12" s="1"/>
  <c r="E93" i="12"/>
  <c r="J93" i="12" s="1"/>
  <c r="E91" i="12"/>
  <c r="J91" i="12" s="1"/>
  <c r="E85" i="12"/>
  <c r="K85" i="12" s="1"/>
  <c r="E86" i="12"/>
  <c r="I86" i="12" s="1"/>
  <c r="E87" i="12"/>
  <c r="J87" i="12" s="1"/>
  <c r="E88" i="12"/>
  <c r="K88" i="12" s="1"/>
  <c r="E89" i="12"/>
  <c r="I89" i="12" s="1"/>
  <c r="E90" i="12"/>
  <c r="I90" i="12" s="1"/>
  <c r="E84" i="12"/>
  <c r="K84" i="12" s="1"/>
  <c r="E82" i="12"/>
  <c r="I82" i="12" s="1"/>
  <c r="E83" i="12"/>
  <c r="I83" i="12" s="1"/>
  <c r="E81" i="12"/>
  <c r="I81" i="12" s="1"/>
  <c r="E65" i="12"/>
  <c r="K65" i="12" s="1"/>
  <c r="E66" i="12"/>
  <c r="I66" i="12" s="1"/>
  <c r="E67" i="12"/>
  <c r="K67" i="12" s="1"/>
  <c r="E68" i="12"/>
  <c r="I68" i="12" s="1"/>
  <c r="E69" i="12"/>
  <c r="I69" i="12" s="1"/>
  <c r="E70" i="12"/>
  <c r="I70" i="12" s="1"/>
  <c r="E71" i="12"/>
  <c r="I71" i="12" s="1"/>
  <c r="E72" i="12"/>
  <c r="K72" i="12" s="1"/>
  <c r="E73" i="12"/>
  <c r="I73" i="12" s="1"/>
  <c r="E74" i="12"/>
  <c r="J74" i="12" s="1"/>
  <c r="E75" i="12"/>
  <c r="I75" i="12" s="1"/>
  <c r="E76" i="12"/>
  <c r="I76" i="12" s="1"/>
  <c r="E77" i="12"/>
  <c r="J77" i="12" s="1"/>
  <c r="E78" i="12"/>
  <c r="I78" i="12" s="1"/>
  <c r="E79" i="12"/>
  <c r="J79" i="12" s="1"/>
  <c r="E80" i="12"/>
  <c r="J80" i="12" s="1"/>
  <c r="E64" i="12"/>
  <c r="I64" i="12" s="1"/>
  <c r="E60" i="12"/>
  <c r="K60" i="12" s="1"/>
  <c r="E61" i="12"/>
  <c r="J61" i="12" s="1"/>
  <c r="E62" i="12"/>
  <c r="I62" i="12" s="1"/>
  <c r="E63" i="12"/>
  <c r="J63" i="12" s="1"/>
  <c r="E59" i="12"/>
  <c r="J59" i="12" s="1"/>
  <c r="E49" i="12"/>
  <c r="K49" i="12" s="1"/>
  <c r="E50" i="12"/>
  <c r="I50" i="12" s="1"/>
  <c r="E51" i="12"/>
  <c r="I51" i="12" s="1"/>
  <c r="E52" i="12"/>
  <c r="J52" i="12" s="1"/>
  <c r="E53" i="12"/>
  <c r="K53" i="12" s="1"/>
  <c r="E54" i="12"/>
  <c r="I54" i="12" s="1"/>
  <c r="E55" i="12"/>
  <c r="I55" i="12" s="1"/>
  <c r="E56" i="12"/>
  <c r="J56" i="12" s="1"/>
  <c r="E57" i="12"/>
  <c r="K57" i="12" s="1"/>
  <c r="E58" i="12"/>
  <c r="I58" i="12" s="1"/>
  <c r="E48" i="12"/>
  <c r="J48" i="12" s="1"/>
  <c r="E12" i="12"/>
  <c r="I12" i="12" s="1"/>
  <c r="E11" i="12"/>
  <c r="K11" i="12" s="1"/>
  <c r="E8" i="12"/>
  <c r="I8" i="12" s="1"/>
  <c r="E9" i="12"/>
  <c r="I9" i="12" s="1"/>
  <c r="E10" i="12"/>
  <c r="J10" i="12" s="1"/>
  <c r="E7" i="12"/>
  <c r="K7" i="12" s="1"/>
  <c r="E45" i="12"/>
  <c r="I45" i="12" s="1"/>
  <c r="E46" i="12"/>
  <c r="J46" i="12" s="1"/>
  <c r="E47" i="12"/>
  <c r="K47" i="12" s="1"/>
  <c r="E44" i="12"/>
  <c r="I44" i="12" s="1"/>
  <c r="E33" i="12"/>
  <c r="I33" i="12" s="1"/>
  <c r="E34" i="12"/>
  <c r="J34" i="12" s="1"/>
  <c r="E35" i="12"/>
  <c r="K35" i="12" s="1"/>
  <c r="E36" i="12"/>
  <c r="I36" i="12" s="1"/>
  <c r="E37" i="12"/>
  <c r="I37" i="12" s="1"/>
  <c r="E38" i="12"/>
  <c r="J38" i="12" s="1"/>
  <c r="E39" i="12"/>
  <c r="K39" i="12" s="1"/>
  <c r="E40" i="12"/>
  <c r="I40" i="12" s="1"/>
  <c r="E41" i="12"/>
  <c r="I41" i="12" s="1"/>
  <c r="E42" i="12"/>
  <c r="J42" i="12" s="1"/>
  <c r="E43" i="12"/>
  <c r="K43" i="12" s="1"/>
  <c r="E32" i="12"/>
  <c r="I32" i="12" s="1"/>
  <c r="E14" i="12"/>
  <c r="J14" i="12" s="1"/>
  <c r="E15" i="12"/>
  <c r="K15" i="12" s="1"/>
  <c r="E16" i="12"/>
  <c r="I16" i="12" s="1"/>
  <c r="E17" i="12"/>
  <c r="I17" i="12" s="1"/>
  <c r="E18" i="12"/>
  <c r="J18" i="12" s="1"/>
  <c r="E19" i="12"/>
  <c r="K19" i="12" s="1"/>
  <c r="E20" i="12"/>
  <c r="I20" i="12" s="1"/>
  <c r="E21" i="12"/>
  <c r="I21" i="12" s="1"/>
  <c r="E22" i="12"/>
  <c r="J22" i="12" s="1"/>
  <c r="E23" i="12"/>
  <c r="K23" i="12" s="1"/>
  <c r="E24" i="12"/>
  <c r="I24" i="12" s="1"/>
  <c r="E25" i="12"/>
  <c r="I25" i="12" s="1"/>
  <c r="E26" i="12"/>
  <c r="J26" i="12" s="1"/>
  <c r="E27" i="12"/>
  <c r="K27" i="12" s="1"/>
  <c r="E28" i="12"/>
  <c r="I28" i="12" s="1"/>
  <c r="E29" i="12"/>
  <c r="I29" i="12" s="1"/>
  <c r="E30" i="12"/>
  <c r="J30" i="12" s="1"/>
  <c r="E31" i="12"/>
  <c r="K31" i="12" s="1"/>
  <c r="E13" i="12"/>
  <c r="I13" i="12" s="1"/>
  <c r="C41" i="1"/>
  <c r="B137" i="4" l="1"/>
  <c r="AL41" i="10" s="1"/>
  <c r="E94" i="9"/>
  <c r="E95" i="9"/>
  <c r="E80" i="9"/>
  <c r="E79" i="9"/>
  <c r="B136" i="4"/>
  <c r="AM95" i="10" s="1"/>
  <c r="AL50" i="10"/>
  <c r="AL93" i="10"/>
  <c r="AL59" i="10"/>
  <c r="E90" i="9"/>
  <c r="E89" i="9"/>
  <c r="E85" i="9"/>
  <c r="AL56" i="10"/>
  <c r="AL57" i="10"/>
  <c r="E84" i="9"/>
  <c r="AL20" i="10"/>
  <c r="AL37" i="10"/>
  <c r="AL88" i="10"/>
  <c r="AL8" i="10"/>
  <c r="AL15" i="10"/>
  <c r="AL13" i="10"/>
  <c r="AL31" i="10"/>
  <c r="AL86" i="10"/>
  <c r="AL84" i="10"/>
  <c r="AL83" i="10"/>
  <c r="AL45" i="10"/>
  <c r="AL52" i="10"/>
  <c r="AL68" i="10"/>
  <c r="AL44" i="10"/>
  <c r="AL113" i="10"/>
  <c r="I77" i="12"/>
  <c r="K76" i="12"/>
  <c r="I74" i="12"/>
  <c r="I80" i="12"/>
  <c r="K75" i="12"/>
  <c r="K79" i="12"/>
  <c r="K74" i="12"/>
  <c r="K73" i="12"/>
  <c r="J73" i="12"/>
  <c r="J69" i="12"/>
  <c r="K80" i="12"/>
  <c r="J76" i="12"/>
  <c r="J75" i="12"/>
  <c r="I79" i="12"/>
  <c r="J72" i="12"/>
  <c r="K78" i="12"/>
  <c r="I72" i="12"/>
  <c r="J65" i="12"/>
  <c r="K96" i="12"/>
  <c r="J78" i="12"/>
  <c r="K71" i="12"/>
  <c r="I65" i="12"/>
  <c r="J96" i="12"/>
  <c r="I67" i="12"/>
  <c r="J66" i="12"/>
  <c r="J71" i="12"/>
  <c r="K64" i="12"/>
  <c r="K77" i="12"/>
  <c r="J64" i="12"/>
  <c r="K95" i="12"/>
  <c r="K70" i="12"/>
  <c r="J95" i="12"/>
  <c r="J70" i="12"/>
  <c r="K94" i="12"/>
  <c r="K69" i="12"/>
  <c r="J94" i="12"/>
  <c r="I91" i="12"/>
  <c r="K68" i="12"/>
  <c r="K83" i="12"/>
  <c r="J68" i="12"/>
  <c r="J83" i="12"/>
  <c r="K82" i="12"/>
  <c r="J82" i="12"/>
  <c r="J67" i="12"/>
  <c r="K66" i="12"/>
  <c r="K81" i="12"/>
  <c r="J81" i="12"/>
  <c r="J84" i="12"/>
  <c r="I87" i="12"/>
  <c r="J88" i="12"/>
  <c r="K89" i="12"/>
  <c r="K90" i="12"/>
  <c r="J89" i="12"/>
  <c r="I88" i="12"/>
  <c r="K86" i="12"/>
  <c r="J85" i="12"/>
  <c r="I84" i="12"/>
  <c r="J90" i="12"/>
  <c r="K87" i="12"/>
  <c r="J86" i="12"/>
  <c r="I85" i="12"/>
  <c r="K91" i="12"/>
  <c r="I93" i="12"/>
  <c r="K92" i="12"/>
  <c r="K93" i="12"/>
  <c r="J92" i="12"/>
  <c r="I63" i="12"/>
  <c r="K62" i="12"/>
  <c r="J60" i="12"/>
  <c r="I59" i="12"/>
  <c r="K61" i="12"/>
  <c r="K63" i="12"/>
  <c r="J62" i="12"/>
  <c r="I61" i="12"/>
  <c r="K59" i="12"/>
  <c r="I60" i="12"/>
  <c r="I48" i="12"/>
  <c r="J53" i="12"/>
  <c r="K54" i="12"/>
  <c r="K58" i="12"/>
  <c r="K50" i="12"/>
  <c r="J57" i="12"/>
  <c r="J49" i="12"/>
  <c r="J58" i="12"/>
  <c r="I57" i="12"/>
  <c r="K55" i="12"/>
  <c r="J54" i="12"/>
  <c r="I53" i="12"/>
  <c r="K51" i="12"/>
  <c r="J50" i="12"/>
  <c r="I49" i="12"/>
  <c r="K56" i="12"/>
  <c r="J55" i="12"/>
  <c r="K52" i="12"/>
  <c r="J51" i="12"/>
  <c r="K48" i="12"/>
  <c r="I56" i="12"/>
  <c r="I52" i="12"/>
  <c r="K20" i="12"/>
  <c r="K28" i="12"/>
  <c r="K12" i="12"/>
  <c r="J43" i="12"/>
  <c r="J35" i="12"/>
  <c r="I26" i="12"/>
  <c r="I18" i="12"/>
  <c r="J11" i="12"/>
  <c r="I7" i="12"/>
  <c r="K40" i="12"/>
  <c r="K32" i="12"/>
  <c r="K24" i="12"/>
  <c r="K16" i="12"/>
  <c r="I10" i="12"/>
  <c r="K44" i="12"/>
  <c r="K36" i="12"/>
  <c r="J47" i="12"/>
  <c r="J39" i="12"/>
  <c r="I30" i="12"/>
  <c r="I22" i="12"/>
  <c r="I14" i="12"/>
  <c r="K8" i="12"/>
  <c r="I34" i="12"/>
  <c r="J31" i="12"/>
  <c r="J23" i="12"/>
  <c r="J15" i="12"/>
  <c r="J7" i="12"/>
  <c r="I47" i="12"/>
  <c r="K45" i="12"/>
  <c r="J44" i="12"/>
  <c r="I43" i="12"/>
  <c r="K41" i="12"/>
  <c r="J40" i="12"/>
  <c r="I39" i="12"/>
  <c r="K37" i="12"/>
  <c r="J36" i="12"/>
  <c r="I35" i="12"/>
  <c r="K33" i="12"/>
  <c r="J32" i="12"/>
  <c r="I31" i="12"/>
  <c r="K29" i="12"/>
  <c r="J28" i="12"/>
  <c r="I27" i="12"/>
  <c r="K25" i="12"/>
  <c r="J24" i="12"/>
  <c r="I23" i="12"/>
  <c r="K21" i="12"/>
  <c r="J20" i="12"/>
  <c r="I19" i="12"/>
  <c r="K17" i="12"/>
  <c r="J16" i="12"/>
  <c r="I15" i="12"/>
  <c r="K13" i="12"/>
  <c r="J12" i="12"/>
  <c r="I11" i="12"/>
  <c r="K9" i="12"/>
  <c r="J8" i="12"/>
  <c r="I38" i="12"/>
  <c r="J27" i="12"/>
  <c r="J19" i="12"/>
  <c r="K46" i="12"/>
  <c r="J45" i="12"/>
  <c r="K42" i="12"/>
  <c r="J41" i="12"/>
  <c r="K38" i="12"/>
  <c r="J37" i="12"/>
  <c r="K34" i="12"/>
  <c r="J33" i="12"/>
  <c r="K30" i="12"/>
  <c r="J29" i="12"/>
  <c r="K26" i="12"/>
  <c r="J25" i="12"/>
  <c r="K22" i="12"/>
  <c r="J21" i="12"/>
  <c r="K18" i="12"/>
  <c r="J17" i="12"/>
  <c r="K14" i="12"/>
  <c r="J13" i="12"/>
  <c r="K10" i="12"/>
  <c r="J9" i="12"/>
  <c r="I46" i="12"/>
  <c r="I42" i="12"/>
  <c r="AL6" i="10" l="1"/>
  <c r="AL87" i="10"/>
  <c r="AL69" i="10"/>
  <c r="AL64" i="10"/>
  <c r="AL76" i="10"/>
  <c r="AL104" i="10"/>
  <c r="AL95" i="10"/>
  <c r="AP95" i="10" s="1"/>
  <c r="AQ95" i="10" s="1"/>
  <c r="AL105" i="10"/>
  <c r="AL42" i="10"/>
  <c r="AL16" i="10"/>
  <c r="AL33" i="10"/>
  <c r="AL11" i="10"/>
  <c r="AL35" i="10"/>
  <c r="AL24" i="10"/>
  <c r="AL9" i="10"/>
  <c r="AL25" i="10"/>
  <c r="AL65" i="10"/>
  <c r="AL106" i="10"/>
  <c r="AL51" i="10"/>
  <c r="AL70" i="10"/>
  <c r="AL54" i="10"/>
  <c r="AL72" i="10"/>
  <c r="AL78" i="10"/>
  <c r="AL85" i="10"/>
  <c r="AL22" i="10"/>
  <c r="AL26" i="10"/>
  <c r="AL23" i="10"/>
  <c r="AL10" i="10"/>
  <c r="AL32" i="10"/>
  <c r="AL7" i="10"/>
  <c r="AL81" i="10"/>
  <c r="AL77" i="10"/>
  <c r="AL110" i="10"/>
  <c r="AL63" i="10"/>
  <c r="AL62" i="10"/>
  <c r="AL71" i="10"/>
  <c r="AL66" i="10"/>
  <c r="AL112" i="10"/>
  <c r="AL111" i="10"/>
  <c r="AL97" i="10"/>
  <c r="AL47" i="10"/>
  <c r="AL18" i="10"/>
  <c r="AL36" i="10"/>
  <c r="AL17" i="10"/>
  <c r="AL14" i="10"/>
  <c r="AL89" i="10"/>
  <c r="AL5" i="10"/>
  <c r="AL19" i="10"/>
  <c r="AL38" i="10"/>
  <c r="AL60" i="10"/>
  <c r="AL94" i="10"/>
  <c r="AL103" i="10"/>
  <c r="AL107" i="10"/>
  <c r="AL46" i="10"/>
  <c r="AL102" i="10"/>
  <c r="AL30" i="10"/>
  <c r="AL27" i="10"/>
  <c r="AL21" i="10"/>
  <c r="AL101" i="10"/>
  <c r="AL48" i="10"/>
  <c r="AL55" i="10"/>
  <c r="AL79" i="10"/>
  <c r="AL74" i="10"/>
  <c r="AL53" i="10"/>
  <c r="AL109" i="10"/>
  <c r="AL99" i="10"/>
  <c r="AL29" i="10"/>
  <c r="AL12" i="10"/>
  <c r="AL4" i="10"/>
  <c r="AL28" i="10"/>
  <c r="AL34" i="10"/>
  <c r="AL82" i="10"/>
  <c r="AL39" i="10"/>
  <c r="AP39" i="10" s="1"/>
  <c r="AQ39" i="10" s="1"/>
  <c r="AL96" i="10"/>
  <c r="AL58" i="10"/>
  <c r="AL98" i="10"/>
  <c r="AL61" i="10"/>
  <c r="AL43" i="10"/>
  <c r="AL91" i="10"/>
  <c r="AL80" i="10"/>
  <c r="AL92" i="10"/>
  <c r="AM28" i="10"/>
  <c r="AM106" i="10"/>
  <c r="AM79" i="10"/>
  <c r="AM13" i="10"/>
  <c r="AP13" i="10" s="1"/>
  <c r="AQ13" i="10" s="1"/>
  <c r="AM58" i="10"/>
  <c r="AM10" i="10"/>
  <c r="AM74" i="10"/>
  <c r="AM43" i="10"/>
  <c r="AM39" i="10"/>
  <c r="AM75" i="10"/>
  <c r="AM73" i="10"/>
  <c r="AM27" i="10"/>
  <c r="AM31" i="10"/>
  <c r="AP31" i="10" s="1"/>
  <c r="AQ31" i="10" s="1"/>
  <c r="AM7" i="10"/>
  <c r="AM64" i="10"/>
  <c r="AP64" i="10" s="1"/>
  <c r="AQ64" i="10" s="1"/>
  <c r="AM90" i="10"/>
  <c r="AM24" i="10"/>
  <c r="AT24" i="10" s="1"/>
  <c r="AU24" i="10" s="1"/>
  <c r="AM88" i="10"/>
  <c r="AT88" i="10" s="1"/>
  <c r="AU88" i="10" s="1"/>
  <c r="AM17" i="10"/>
  <c r="AP17" i="10" s="1"/>
  <c r="AQ17" i="10" s="1"/>
  <c r="AL67" i="10"/>
  <c r="AL100" i="10"/>
  <c r="AL40" i="10"/>
  <c r="AL108" i="10"/>
  <c r="AL73" i="10"/>
  <c r="AL49" i="10"/>
  <c r="AL90" i="10"/>
  <c r="AM49" i="10"/>
  <c r="AM42" i="10"/>
  <c r="AL75" i="10"/>
  <c r="AM35" i="10"/>
  <c r="AP35" i="10" s="1"/>
  <c r="AQ35" i="10" s="1"/>
  <c r="AT74" i="10"/>
  <c r="AU74" i="10" s="1"/>
  <c r="K292" i="12"/>
  <c r="L292" i="12" s="1"/>
  <c r="AM93" i="10"/>
  <c r="AT93" i="10" s="1"/>
  <c r="AU93" i="10" s="1"/>
  <c r="AM59" i="10"/>
  <c r="AP59" i="10" s="1"/>
  <c r="AQ59" i="10" s="1"/>
  <c r="AM89" i="10"/>
  <c r="AM41" i="10"/>
  <c r="AT41" i="10" s="1"/>
  <c r="AU41" i="10" s="1"/>
  <c r="AM101" i="10"/>
  <c r="AM60" i="10"/>
  <c r="AT60" i="10" s="1"/>
  <c r="AU60" i="10" s="1"/>
  <c r="AM54" i="10"/>
  <c r="AM102" i="10"/>
  <c r="AM98" i="10"/>
  <c r="AM99" i="10"/>
  <c r="AM25" i="10"/>
  <c r="AM84" i="10"/>
  <c r="AP84" i="10" s="1"/>
  <c r="AQ84" i="10" s="1"/>
  <c r="AM80" i="10"/>
  <c r="AM112" i="10"/>
  <c r="AM76" i="10"/>
  <c r="AM20" i="10"/>
  <c r="AP20" i="10" s="1"/>
  <c r="AQ20" i="10" s="1"/>
  <c r="AM48" i="10"/>
  <c r="AM100" i="10"/>
  <c r="AM53" i="10"/>
  <c r="AM50" i="10"/>
  <c r="AP50" i="10" s="1"/>
  <c r="AQ50" i="10" s="1"/>
  <c r="AM34" i="10"/>
  <c r="AM65" i="10"/>
  <c r="AM5" i="10"/>
  <c r="AM107" i="10"/>
  <c r="AP107" i="10" s="1"/>
  <c r="AQ107" i="10" s="1"/>
  <c r="AM61" i="10"/>
  <c r="AM91" i="10"/>
  <c r="AP91" i="10" s="1"/>
  <c r="AQ91" i="10" s="1"/>
  <c r="AM78" i="10"/>
  <c r="AM81" i="10"/>
  <c r="AM4" i="10"/>
  <c r="AM51" i="10"/>
  <c r="AM108" i="10"/>
  <c r="AM69" i="10"/>
  <c r="AM111" i="10"/>
  <c r="AM110" i="10"/>
  <c r="AM23" i="10"/>
  <c r="AP23" i="10" s="1"/>
  <c r="AQ23" i="10" s="1"/>
  <c r="AM77" i="10"/>
  <c r="AM70" i="10"/>
  <c r="AM72" i="10"/>
  <c r="AM57" i="10"/>
  <c r="AT57" i="10" s="1"/>
  <c r="AU57" i="10" s="1"/>
  <c r="AM30" i="10"/>
  <c r="AM94" i="10"/>
  <c r="AT94" i="10" s="1"/>
  <c r="AU94" i="10" s="1"/>
  <c r="AM63" i="10"/>
  <c r="AT63" i="10" s="1"/>
  <c r="AU63" i="10" s="1"/>
  <c r="AM14" i="10"/>
  <c r="AM26" i="10"/>
  <c r="AM38" i="10"/>
  <c r="AP38" i="10" s="1"/>
  <c r="AQ38" i="10" s="1"/>
  <c r="AM32" i="10"/>
  <c r="AM15" i="10"/>
  <c r="AP15" i="10" s="1"/>
  <c r="AQ15" i="10" s="1"/>
  <c r="AM37" i="10"/>
  <c r="AP37" i="10" s="1"/>
  <c r="AQ37" i="10" s="1"/>
  <c r="AM82" i="10"/>
  <c r="AM83" i="10"/>
  <c r="AP83" i="10" s="1"/>
  <c r="AQ83" i="10" s="1"/>
  <c r="AM71" i="10"/>
  <c r="AM12" i="10"/>
  <c r="AM16" i="10"/>
  <c r="AM105" i="10"/>
  <c r="AM8" i="10"/>
  <c r="AP8" i="10" s="1"/>
  <c r="AQ8" i="10" s="1"/>
  <c r="AM44" i="10"/>
  <c r="AP44" i="10" s="1"/>
  <c r="AQ44" i="10" s="1"/>
  <c r="AM109" i="10"/>
  <c r="AM55" i="10"/>
  <c r="AP55" i="10" s="1"/>
  <c r="AQ55" i="10" s="1"/>
  <c r="AM22" i="10"/>
  <c r="AP22" i="10" s="1"/>
  <c r="AQ22" i="10" s="1"/>
  <c r="AM52" i="10"/>
  <c r="AP52" i="10" s="1"/>
  <c r="AQ52" i="10" s="1"/>
  <c r="AM6" i="10"/>
  <c r="AT6" i="10" s="1"/>
  <c r="AU6" i="10" s="1"/>
  <c r="AM96" i="10"/>
  <c r="AM86" i="10"/>
  <c r="AP86" i="10" s="1"/>
  <c r="AQ86" i="10" s="1"/>
  <c r="AM9" i="10"/>
  <c r="AT9" i="10" s="1"/>
  <c r="AU9" i="10" s="1"/>
  <c r="AM40" i="10"/>
  <c r="AM11" i="10"/>
  <c r="AM103" i="10"/>
  <c r="AM67" i="10"/>
  <c r="AM56" i="10"/>
  <c r="AT56" i="10" s="1"/>
  <c r="AU56" i="10" s="1"/>
  <c r="AM62" i="10"/>
  <c r="AM85" i="10"/>
  <c r="AM21" i="10"/>
  <c r="AM104" i="10"/>
  <c r="AM87" i="10"/>
  <c r="AM19" i="10"/>
  <c r="AM66" i="10"/>
  <c r="AM113" i="10"/>
  <c r="AP113" i="10" s="1"/>
  <c r="AQ113" i="10" s="1"/>
  <c r="AM45" i="10"/>
  <c r="AT45" i="10" s="1"/>
  <c r="AU45" i="10" s="1"/>
  <c r="AM68" i="10"/>
  <c r="AT68" i="10" s="1"/>
  <c r="AU68" i="10" s="1"/>
  <c r="AM97" i="10"/>
  <c r="AM36" i="10"/>
  <c r="AT36" i="10" s="1"/>
  <c r="AU36" i="10" s="1"/>
  <c r="AM29" i="10"/>
  <c r="AT29" i="10" s="1"/>
  <c r="AU29" i="10" s="1"/>
  <c r="AM33" i="10"/>
  <c r="AM18" i="10"/>
  <c r="AM47" i="10"/>
  <c r="AM46" i="10"/>
  <c r="AM92" i="10"/>
  <c r="I292" i="12"/>
  <c r="J292" i="12"/>
  <c r="AP27" i="10" l="1"/>
  <c r="AQ27" i="10" s="1"/>
  <c r="AP77" i="10"/>
  <c r="AQ77" i="10" s="1"/>
  <c r="AT39" i="10"/>
  <c r="AU39" i="10" s="1"/>
  <c r="AP66" i="10"/>
  <c r="AQ66" i="10" s="1"/>
  <c r="AP25" i="10"/>
  <c r="AQ25" i="10" s="1"/>
  <c r="AP30" i="10"/>
  <c r="AQ30" i="10" s="1"/>
  <c r="AP105" i="10"/>
  <c r="AQ105" i="10" s="1"/>
  <c r="AP16" i="10"/>
  <c r="AQ16" i="10" s="1"/>
  <c r="AT51" i="10"/>
  <c r="AU51" i="10" s="1"/>
  <c r="AP75" i="10"/>
  <c r="AQ75" i="10" s="1"/>
  <c r="AP110" i="10"/>
  <c r="AQ110" i="10" s="1"/>
  <c r="AT21" i="10"/>
  <c r="AU21" i="10" s="1"/>
  <c r="AT82" i="10"/>
  <c r="AU82" i="10" s="1"/>
  <c r="AP4" i="10"/>
  <c r="AQ4" i="10" s="1"/>
  <c r="AP12" i="10"/>
  <c r="AQ12" i="10" s="1"/>
  <c r="AT95" i="10"/>
  <c r="AU95" i="10" s="1"/>
  <c r="AT13" i="10"/>
  <c r="AU13" i="10" s="1"/>
  <c r="AP81" i="10"/>
  <c r="AQ81" i="10" s="1"/>
  <c r="AP102" i="10"/>
  <c r="AQ102" i="10" s="1"/>
  <c r="AT104" i="10"/>
  <c r="AU104" i="10" s="1"/>
  <c r="AP42" i="10"/>
  <c r="AQ42" i="10" s="1"/>
  <c r="AP43" i="10"/>
  <c r="AQ43" i="10" s="1"/>
  <c r="AP18" i="10"/>
  <c r="AQ18" i="10" s="1"/>
  <c r="AP11" i="10"/>
  <c r="AQ11" i="10" s="1"/>
  <c r="AP100" i="10"/>
  <c r="AQ100" i="10" s="1"/>
  <c r="AT7" i="10"/>
  <c r="AU7" i="10" s="1"/>
  <c r="AT106" i="10"/>
  <c r="AU106" i="10" s="1"/>
  <c r="AP85" i="10"/>
  <c r="AQ85" i="10" s="1"/>
  <c r="AT48" i="10"/>
  <c r="AU48" i="10" s="1"/>
  <c r="AP99" i="10"/>
  <c r="AQ99" i="10" s="1"/>
  <c r="AT19" i="10"/>
  <c r="AU19" i="10" s="1"/>
  <c r="AT71" i="10"/>
  <c r="AU71" i="10" s="1"/>
  <c r="AT76" i="10"/>
  <c r="AU76" i="10" s="1"/>
  <c r="AT46" i="10"/>
  <c r="AU46" i="10" s="1"/>
  <c r="AP87" i="10"/>
  <c r="AQ87" i="10" s="1"/>
  <c r="AP96" i="10"/>
  <c r="AQ96" i="10" s="1"/>
  <c r="AT26" i="10"/>
  <c r="AU26" i="10" s="1"/>
  <c r="AP69" i="10"/>
  <c r="AQ69" i="10" s="1"/>
  <c r="AP112" i="10"/>
  <c r="AQ112" i="10" s="1"/>
  <c r="AP74" i="10"/>
  <c r="AQ74" i="10" s="1"/>
  <c r="AP70" i="10"/>
  <c r="AQ70" i="10" s="1"/>
  <c r="AT17" i="10"/>
  <c r="AU17" i="10" s="1"/>
  <c r="AP28" i="10"/>
  <c r="AQ28" i="10" s="1"/>
  <c r="AP111" i="10"/>
  <c r="AQ111" i="10" s="1"/>
  <c r="AP106" i="10"/>
  <c r="AQ106" i="10" s="1"/>
  <c r="AT28" i="10"/>
  <c r="AU28" i="10" s="1"/>
  <c r="AT42" i="10"/>
  <c r="AU42" i="10" s="1"/>
  <c r="AP14" i="10"/>
  <c r="AQ14" i="10" s="1"/>
  <c r="AP80" i="10"/>
  <c r="AQ80" i="10" s="1"/>
  <c r="AP54" i="10"/>
  <c r="AQ54" i="10" s="1"/>
  <c r="AT79" i="10"/>
  <c r="AU79" i="10" s="1"/>
  <c r="AT33" i="10"/>
  <c r="AU33" i="10" s="1"/>
  <c r="AT62" i="10"/>
  <c r="AU62" i="10" s="1"/>
  <c r="AP32" i="10"/>
  <c r="AQ32" i="10" s="1"/>
  <c r="AP65" i="10"/>
  <c r="AQ65" i="10" s="1"/>
  <c r="AT10" i="10"/>
  <c r="AU10" i="10" s="1"/>
  <c r="AT31" i="10"/>
  <c r="AU31" i="10" s="1"/>
  <c r="AT109" i="10"/>
  <c r="AU109" i="10" s="1"/>
  <c r="AP78" i="10"/>
  <c r="AQ78" i="10" s="1"/>
  <c r="AP34" i="10"/>
  <c r="AQ34" i="10" s="1"/>
  <c r="AT98" i="10"/>
  <c r="AU98" i="10" s="1"/>
  <c r="AT89" i="10"/>
  <c r="AU89" i="10" s="1"/>
  <c r="AP58" i="10"/>
  <c r="AQ58" i="10" s="1"/>
  <c r="AT97" i="10"/>
  <c r="AU97" i="10" s="1"/>
  <c r="AT72" i="10"/>
  <c r="AU72" i="10" s="1"/>
  <c r="AP90" i="10"/>
  <c r="AQ90" i="10" s="1"/>
  <c r="AP5" i="10"/>
  <c r="AQ5" i="10" s="1"/>
  <c r="AP101" i="10"/>
  <c r="AQ101" i="10" s="1"/>
  <c r="AP7" i="10"/>
  <c r="AQ7" i="10" s="1"/>
  <c r="AT47" i="10"/>
  <c r="AU47" i="10" s="1"/>
  <c r="AP103" i="10"/>
  <c r="AQ103" i="10" s="1"/>
  <c r="AP61" i="10"/>
  <c r="AQ61" i="10" s="1"/>
  <c r="AT53" i="10"/>
  <c r="AU53" i="10" s="1"/>
  <c r="AP24" i="10"/>
  <c r="AQ24" i="10" s="1"/>
  <c r="AP88" i="10"/>
  <c r="AQ88" i="10" s="1"/>
  <c r="AT58" i="10"/>
  <c r="AU58" i="10" s="1"/>
  <c r="AP79" i="10"/>
  <c r="AQ79" i="10" s="1"/>
  <c r="AP10" i="10"/>
  <c r="AQ10" i="10" s="1"/>
  <c r="AT27" i="10"/>
  <c r="AU27" i="10" s="1"/>
  <c r="AP40" i="10"/>
  <c r="AQ40" i="10" s="1"/>
  <c r="AT90" i="10"/>
  <c r="AU90" i="10" s="1"/>
  <c r="AP73" i="10"/>
  <c r="AQ73" i="10" s="1"/>
  <c r="AT67" i="10"/>
  <c r="AU67" i="10" s="1"/>
  <c r="AT43" i="10"/>
  <c r="AU43" i="10" s="1"/>
  <c r="AT108" i="10"/>
  <c r="AU108" i="10" s="1"/>
  <c r="AT49" i="10"/>
  <c r="AU49" i="10" s="1"/>
  <c r="AT64" i="10"/>
  <c r="AU64" i="10" s="1"/>
  <c r="AT73" i="10"/>
  <c r="AU73" i="10" s="1"/>
  <c r="AP49" i="10"/>
  <c r="AQ49" i="10" s="1"/>
  <c r="AT35" i="10"/>
  <c r="AU35" i="10" s="1"/>
  <c r="AT75" i="10"/>
  <c r="AU75" i="10" s="1"/>
  <c r="AT54" i="10"/>
  <c r="AU54" i="10" s="1"/>
  <c r="AT102" i="10"/>
  <c r="AU102" i="10" s="1"/>
  <c r="AT99" i="10"/>
  <c r="AU99" i="10" s="1"/>
  <c r="AT101" i="10"/>
  <c r="AU101" i="10" s="1"/>
  <c r="AT5" i="10"/>
  <c r="AU5" i="10" s="1"/>
  <c r="AP93" i="10"/>
  <c r="AQ93" i="10" s="1"/>
  <c r="AP60" i="10"/>
  <c r="AQ60" i="10" s="1"/>
  <c r="AP48" i="10"/>
  <c r="AQ48" i="10" s="1"/>
  <c r="AT59" i="10"/>
  <c r="AU59" i="10" s="1"/>
  <c r="AP98" i="10"/>
  <c r="AQ98" i="10" s="1"/>
  <c r="AP89" i="10"/>
  <c r="AQ89" i="10" s="1"/>
  <c r="AT16" i="10"/>
  <c r="AU16" i="10" s="1"/>
  <c r="AT69" i="10"/>
  <c r="AU69" i="10" s="1"/>
  <c r="AT80" i="10"/>
  <c r="AU80" i="10" s="1"/>
  <c r="AP41" i="10"/>
  <c r="AQ41" i="10" s="1"/>
  <c r="AT20" i="10"/>
  <c r="AU20" i="10" s="1"/>
  <c r="AP76" i="10"/>
  <c r="AQ76" i="10" s="1"/>
  <c r="AP108" i="10"/>
  <c r="AQ108" i="10" s="1"/>
  <c r="AT84" i="10"/>
  <c r="AU84" i="10" s="1"/>
  <c r="AP21" i="10"/>
  <c r="AQ21" i="10" s="1"/>
  <c r="AP71" i="10"/>
  <c r="AQ71" i="10" s="1"/>
  <c r="AT85" i="10"/>
  <c r="AU85" i="10" s="1"/>
  <c r="AT112" i="10"/>
  <c r="AU112" i="10" s="1"/>
  <c r="AT25" i="10"/>
  <c r="AU25" i="10" s="1"/>
  <c r="AT100" i="10"/>
  <c r="AU100" i="10" s="1"/>
  <c r="AT111" i="10"/>
  <c r="AU111" i="10" s="1"/>
  <c r="AT91" i="10"/>
  <c r="AU91" i="10" s="1"/>
  <c r="AP19" i="10"/>
  <c r="AQ19" i="10" s="1"/>
  <c r="AT50" i="10"/>
  <c r="AU50" i="10" s="1"/>
  <c r="AT4" i="10"/>
  <c r="AU4" i="10" s="1"/>
  <c r="AT65" i="10"/>
  <c r="AU65" i="10" s="1"/>
  <c r="AT107" i="10"/>
  <c r="AU107" i="10" s="1"/>
  <c r="AT23" i="10"/>
  <c r="AU23" i="10" s="1"/>
  <c r="AT61" i="10"/>
  <c r="AU61" i="10" s="1"/>
  <c r="AP51" i="10"/>
  <c r="AQ51" i="10" s="1"/>
  <c r="AP53" i="10"/>
  <c r="AQ53" i="10" s="1"/>
  <c r="AT34" i="10"/>
  <c r="AU34" i="10" s="1"/>
  <c r="AT81" i="10"/>
  <c r="AU81" i="10" s="1"/>
  <c r="AT78" i="10"/>
  <c r="AU78" i="10" s="1"/>
  <c r="AT105" i="10"/>
  <c r="AU105" i="10" s="1"/>
  <c r="AP104" i="10"/>
  <c r="AQ104" i="10" s="1"/>
  <c r="AP6" i="10"/>
  <c r="AQ6" i="10" s="1"/>
  <c r="AT12" i="10"/>
  <c r="AU12" i="10" s="1"/>
  <c r="AP29" i="10"/>
  <c r="AQ29" i="10" s="1"/>
  <c r="AP63" i="10"/>
  <c r="AQ63" i="10" s="1"/>
  <c r="AP9" i="10"/>
  <c r="AQ9" i="10" s="1"/>
  <c r="AT52" i="10"/>
  <c r="AU52" i="10" s="1"/>
  <c r="AP57" i="10"/>
  <c r="AQ57" i="10" s="1"/>
  <c r="AT55" i="10"/>
  <c r="AU55" i="10" s="1"/>
  <c r="AP72" i="10"/>
  <c r="AQ72" i="10" s="1"/>
  <c r="AT66" i="10"/>
  <c r="AU66" i="10" s="1"/>
  <c r="AT8" i="10"/>
  <c r="AU8" i="10" s="1"/>
  <c r="AT18" i="10"/>
  <c r="AU18" i="10" s="1"/>
  <c r="AP109" i="10"/>
  <c r="AQ109" i="10" s="1"/>
  <c r="AT11" i="10"/>
  <c r="AU11" i="10" s="1"/>
  <c r="AT103" i="10"/>
  <c r="AU103" i="10" s="1"/>
  <c r="AT113" i="10"/>
  <c r="AU113" i="10" s="1"/>
  <c r="AT30" i="10"/>
  <c r="AU30" i="10" s="1"/>
  <c r="AT96" i="10"/>
  <c r="AU96" i="10" s="1"/>
  <c r="AP97" i="10"/>
  <c r="AQ97" i="10" s="1"/>
  <c r="AT40" i="10"/>
  <c r="AU40" i="10" s="1"/>
  <c r="AP36" i="10"/>
  <c r="AQ36" i="10" s="1"/>
  <c r="AT44" i="10"/>
  <c r="AU44" i="10" s="1"/>
  <c r="AT37" i="10"/>
  <c r="AU37" i="10" s="1"/>
  <c r="AT87" i="10"/>
  <c r="AU87" i="10" s="1"/>
  <c r="AT110" i="10"/>
  <c r="AU110" i="10" s="1"/>
  <c r="AP94" i="10"/>
  <c r="AQ94" i="10" s="1"/>
  <c r="AP33" i="10"/>
  <c r="AQ33" i="10" s="1"/>
  <c r="AT77" i="10"/>
  <c r="AU77" i="10" s="1"/>
  <c r="AP46" i="10"/>
  <c r="AQ46" i="10" s="1"/>
  <c r="AT92" i="10"/>
  <c r="AU92" i="10" s="1"/>
  <c r="AP92" i="10"/>
  <c r="AQ92" i="10" s="1"/>
  <c r="AP82" i="10"/>
  <c r="AQ82" i="10" s="1"/>
  <c r="AP45" i="10"/>
  <c r="AQ45" i="10" s="1"/>
  <c r="AT38" i="10"/>
  <c r="AU38" i="10" s="1"/>
  <c r="AP26" i="10"/>
  <c r="AQ26" i="10" s="1"/>
  <c r="AT86" i="10"/>
  <c r="AU86" i="10" s="1"/>
  <c r="AT22" i="10"/>
  <c r="AU22" i="10" s="1"/>
  <c r="AT14" i="10"/>
  <c r="AU14" i="10" s="1"/>
  <c r="AP47" i="10"/>
  <c r="AQ47" i="10" s="1"/>
  <c r="AP68" i="10"/>
  <c r="AQ68" i="10" s="1"/>
  <c r="AT15" i="10"/>
  <c r="AU15" i="10" s="1"/>
  <c r="AP62" i="10"/>
  <c r="AQ62" i="10" s="1"/>
  <c r="AT70" i="10"/>
  <c r="AU70" i="10" s="1"/>
  <c r="AT83" i="10"/>
  <c r="AU83" i="10" s="1"/>
  <c r="AP56" i="10"/>
  <c r="AQ56" i="10" s="1"/>
  <c r="AP67" i="10"/>
  <c r="AQ67" i="10" s="1"/>
  <c r="AT32" i="10"/>
  <c r="AU32" i="10" s="1"/>
  <c r="H55" i="3"/>
  <c r="D76" i="9" l="1"/>
  <c r="D75" i="9"/>
  <c r="D74" i="8"/>
  <c r="O9" i="8" s="1"/>
  <c r="P9" i="8" s="1"/>
  <c r="Q9" i="8" s="1"/>
  <c r="R9" i="8" s="1"/>
  <c r="S9" i="8" s="1"/>
  <c r="T9" i="8" s="1"/>
  <c r="U9" i="8" s="1"/>
  <c r="V9" i="8" s="1"/>
  <c r="W9" i="8" s="1"/>
  <c r="X9" i="8" s="1"/>
  <c r="Y9" i="8" s="1"/>
  <c r="Z9" i="8" s="1"/>
  <c r="AA9" i="8" s="1"/>
  <c r="AB9" i="8" s="1"/>
  <c r="AC9" i="8" s="1"/>
  <c r="AD9" i="8" s="1"/>
  <c r="AE9" i="8" s="1"/>
  <c r="AF9" i="8" s="1"/>
  <c r="AG9" i="8" s="1"/>
  <c r="AH9" i="8" s="1"/>
  <c r="AI9" i="8" s="1"/>
  <c r="AJ9" i="8" s="1"/>
  <c r="AK9" i="8" s="1"/>
  <c r="AL9" i="8" s="1"/>
  <c r="AM9" i="8" s="1"/>
  <c r="AN9" i="8" s="1"/>
  <c r="AO9" i="8" s="1"/>
  <c r="AP9" i="8" s="1"/>
  <c r="AQ9" i="8" s="1"/>
  <c r="AR9" i="8" s="1"/>
  <c r="AS9" i="8" s="1"/>
  <c r="AT9" i="8" s="1"/>
  <c r="AU9" i="8" s="1"/>
  <c r="AV9" i="8" s="1"/>
  <c r="AW9" i="8" s="1"/>
  <c r="AX9" i="8" s="1"/>
  <c r="AY9" i="8" s="1"/>
  <c r="AZ9" i="8" s="1"/>
  <c r="D77" i="8"/>
  <c r="D76" i="8"/>
  <c r="J69" i="1"/>
  <c r="J73" i="1"/>
  <c r="J71" i="1"/>
  <c r="D79" i="8"/>
  <c r="D72" i="8"/>
  <c r="O11" i="8" l="1"/>
  <c r="O7" i="8"/>
  <c r="O10" i="8"/>
  <c r="O8" i="8"/>
  <c r="O13" i="8"/>
  <c r="O12" i="8"/>
  <c r="N29" i="8"/>
  <c r="N31" i="8" s="1"/>
  <c r="D75" i="8"/>
  <c r="AH29" i="8"/>
  <c r="AH31" i="8" s="1"/>
  <c r="X29" i="8"/>
  <c r="X31" i="8" s="1"/>
  <c r="Z29" i="8"/>
  <c r="Z31" i="8" s="1"/>
  <c r="AK29" i="8"/>
  <c r="AK31" i="8" s="1"/>
  <c r="AL29" i="8"/>
  <c r="AL31" i="8" s="1"/>
  <c r="AM29" i="8"/>
  <c r="AM31" i="8" s="1"/>
  <c r="AN29" i="8"/>
  <c r="AN31" i="8" s="1"/>
  <c r="AD29" i="8"/>
  <c r="AD31" i="8" s="1"/>
  <c r="AO29" i="8"/>
  <c r="AO31" i="8" s="1"/>
  <c r="AE29" i="8"/>
  <c r="AE31" i="8" s="1"/>
  <c r="AP29" i="8"/>
  <c r="AP31" i="8" s="1"/>
  <c r="AF29" i="8"/>
  <c r="AF31" i="8" s="1"/>
  <c r="AQ29" i="8"/>
  <c r="AQ31" i="8" s="1"/>
  <c r="W29" i="8"/>
  <c r="W31" i="8" s="1"/>
  <c r="AR29" i="8"/>
  <c r="AR31" i="8" s="1"/>
  <c r="AS29" i="8"/>
  <c r="AS31" i="8" s="1"/>
  <c r="T29" i="8"/>
  <c r="T31" i="8" s="1"/>
  <c r="AT29" i="8"/>
  <c r="AT31" i="8" s="1"/>
  <c r="U29" i="8"/>
  <c r="U31" i="8" s="1"/>
  <c r="AU29" i="8"/>
  <c r="AU31" i="8" s="1"/>
  <c r="V29" i="8"/>
  <c r="V31" i="8" s="1"/>
  <c r="R29" i="8"/>
  <c r="R31" i="8" s="1"/>
  <c r="AW29" i="8"/>
  <c r="AW31" i="8" s="1"/>
  <c r="Q29" i="8"/>
  <c r="Q31" i="8" s="1"/>
  <c r="AX29" i="8"/>
  <c r="AX31" i="8" s="1"/>
  <c r="AY29" i="8"/>
  <c r="AY31" i="8" s="1"/>
  <c r="O29" i="8"/>
  <c r="O31" i="8" s="1"/>
  <c r="AZ29" i="8"/>
  <c r="AZ31" i="8" s="1"/>
  <c r="P29" i="8"/>
  <c r="P31" i="8" s="1"/>
  <c r="AG29" i="8"/>
  <c r="AG31" i="8" s="1"/>
  <c r="M29" i="8"/>
  <c r="AI29" i="8"/>
  <c r="AI31" i="8" s="1"/>
  <c r="Y29" i="8"/>
  <c r="Y31" i="8" s="1"/>
  <c r="AJ29" i="8"/>
  <c r="AJ31" i="8" s="1"/>
  <c r="AA29" i="8"/>
  <c r="AA31" i="8" s="1"/>
  <c r="AB29" i="8"/>
  <c r="AB31" i="8" s="1"/>
  <c r="AC29" i="8"/>
  <c r="AC31" i="8" s="1"/>
  <c r="S29" i="8"/>
  <c r="S31" i="8" s="1"/>
  <c r="AV29" i="8"/>
  <c r="AV31" i="8" s="1"/>
  <c r="N30" i="8"/>
  <c r="N32" i="8" s="1"/>
  <c r="AH30" i="8"/>
  <c r="AH32" i="8" s="1"/>
  <c r="AQ30" i="8"/>
  <c r="AQ32" i="8" s="1"/>
  <c r="Z30" i="8"/>
  <c r="AB30" i="8"/>
  <c r="AB32" i="8" s="1"/>
  <c r="AX30" i="8"/>
  <c r="AZ30" i="8"/>
  <c r="AZ32" i="8" s="1"/>
  <c r="O30" i="8"/>
  <c r="AI30" i="8"/>
  <c r="AI32" i="8" s="1"/>
  <c r="AJ30" i="8"/>
  <c r="X30" i="8"/>
  <c r="AS30" i="8"/>
  <c r="AT30" i="8"/>
  <c r="AC30" i="8"/>
  <c r="AY30" i="8"/>
  <c r="M30" i="8"/>
  <c r="P30" i="8"/>
  <c r="Q30" i="8"/>
  <c r="AK30" i="8"/>
  <c r="R30" i="8"/>
  <c r="AL30" i="8"/>
  <c r="AL32" i="8" s="1"/>
  <c r="AO30" i="8"/>
  <c r="AO32" i="8" s="1"/>
  <c r="V30" i="8"/>
  <c r="Y30" i="8"/>
  <c r="Y32" i="8" s="1"/>
  <c r="AA30" i="8"/>
  <c r="AA32" i="8" s="1"/>
  <c r="AW30" i="8"/>
  <c r="AE30" i="8"/>
  <c r="AG30" i="8"/>
  <c r="AG32" i="8" s="1"/>
  <c r="S30" i="8"/>
  <c r="AM30" i="8"/>
  <c r="W30" i="8"/>
  <c r="AV30" i="8"/>
  <c r="T30" i="8"/>
  <c r="AN30" i="8"/>
  <c r="U30" i="8"/>
  <c r="AP30" i="8"/>
  <c r="AR30" i="8"/>
  <c r="AU30" i="8"/>
  <c r="AD30" i="8"/>
  <c r="AF30" i="8"/>
  <c r="AF32" i="8" s="1"/>
  <c r="F10" i="3"/>
  <c r="N10" i="3" s="1"/>
  <c r="O10" i="3" s="1"/>
  <c r="P10" i="3" s="1"/>
  <c r="Q10" i="3" s="1"/>
  <c r="R10" i="3" s="1"/>
  <c r="S10" i="3" s="1"/>
  <c r="T10" i="3" s="1"/>
  <c r="U10" i="3" s="1"/>
  <c r="V10" i="3" s="1"/>
  <c r="W10" i="3" s="1"/>
  <c r="X10" i="3" s="1"/>
  <c r="Y10" i="3" s="1"/>
  <c r="Z10" i="3" s="1"/>
  <c r="AA10" i="3" s="1"/>
  <c r="AB10" i="3" s="1"/>
  <c r="AC10" i="3" s="1"/>
  <c r="AD10" i="3" s="1"/>
  <c r="AE10" i="3" s="1"/>
  <c r="AF10" i="3" s="1"/>
  <c r="AG10" i="3" s="1"/>
  <c r="AH10" i="3" s="1"/>
  <c r="AI10" i="3" s="1"/>
  <c r="AJ10" i="3" s="1"/>
  <c r="AK10" i="3" s="1"/>
  <c r="AL10" i="3" s="1"/>
  <c r="AM10" i="3" s="1"/>
  <c r="AN10" i="3" s="1"/>
  <c r="AO10" i="3" s="1"/>
  <c r="AP10" i="3" s="1"/>
  <c r="AQ10" i="3" s="1"/>
  <c r="AR10" i="3" s="1"/>
  <c r="AS10" i="3" s="1"/>
  <c r="AT10" i="3" s="1"/>
  <c r="AU10" i="3" s="1"/>
  <c r="AV10" i="3" s="1"/>
  <c r="AW10" i="3" s="1"/>
  <c r="AX10" i="3" s="1"/>
  <c r="AY10" i="3" s="1"/>
  <c r="AZ10" i="3" s="1"/>
  <c r="BA10" i="3" s="1"/>
  <c r="F9" i="3"/>
  <c r="F8" i="3"/>
  <c r="F7" i="3"/>
  <c r="F56" i="3"/>
  <c r="N56" i="3" s="1"/>
  <c r="O56" i="3" s="1"/>
  <c r="P56" i="3" s="1"/>
  <c r="Q56" i="3" s="1"/>
  <c r="R56" i="3" s="1"/>
  <c r="S56" i="3" s="1"/>
  <c r="T56" i="3" s="1"/>
  <c r="U56" i="3" s="1"/>
  <c r="V56" i="3" s="1"/>
  <c r="W56" i="3" s="1"/>
  <c r="X56" i="3" s="1"/>
  <c r="Y56" i="3" s="1"/>
  <c r="Z56" i="3" s="1"/>
  <c r="AA56" i="3" s="1"/>
  <c r="AB56" i="3" s="1"/>
  <c r="AC56" i="3" s="1"/>
  <c r="AD56" i="3" s="1"/>
  <c r="AE56" i="3" s="1"/>
  <c r="AF56" i="3" s="1"/>
  <c r="AG56" i="3" s="1"/>
  <c r="AH56" i="3" s="1"/>
  <c r="AI56" i="3" s="1"/>
  <c r="AJ56" i="3" s="1"/>
  <c r="AK56" i="3" s="1"/>
  <c r="AL56" i="3" s="1"/>
  <c r="AM56" i="3" s="1"/>
  <c r="AN56" i="3" s="1"/>
  <c r="AO56" i="3" s="1"/>
  <c r="AP56" i="3" s="1"/>
  <c r="AQ56" i="3" s="1"/>
  <c r="AR56" i="3" s="1"/>
  <c r="AS56" i="3" s="1"/>
  <c r="AT56" i="3" s="1"/>
  <c r="AU56" i="3" s="1"/>
  <c r="AV56" i="3" s="1"/>
  <c r="AW56" i="3" s="1"/>
  <c r="AX56" i="3" s="1"/>
  <c r="AY56" i="3" s="1"/>
  <c r="AZ56" i="3" s="1"/>
  <c r="BA56" i="3" s="1"/>
  <c r="F54" i="3"/>
  <c r="N54" i="3" s="1"/>
  <c r="O54" i="3" s="1"/>
  <c r="P54" i="3" s="1"/>
  <c r="Q54" i="3" s="1"/>
  <c r="R54" i="3" s="1"/>
  <c r="S54" i="3" s="1"/>
  <c r="T54" i="3" s="1"/>
  <c r="U54" i="3" s="1"/>
  <c r="V54" i="3" s="1"/>
  <c r="W54" i="3" s="1"/>
  <c r="X54" i="3" s="1"/>
  <c r="Y54" i="3" s="1"/>
  <c r="Z54" i="3" s="1"/>
  <c r="AA54" i="3" s="1"/>
  <c r="AB54" i="3" s="1"/>
  <c r="AC54" i="3" s="1"/>
  <c r="AD54" i="3" s="1"/>
  <c r="AE54" i="3" s="1"/>
  <c r="AF54" i="3" s="1"/>
  <c r="AG54" i="3" s="1"/>
  <c r="AH54" i="3" s="1"/>
  <c r="AI54" i="3" s="1"/>
  <c r="AJ54" i="3" s="1"/>
  <c r="AK54" i="3" s="1"/>
  <c r="AL54" i="3" s="1"/>
  <c r="AM54" i="3" s="1"/>
  <c r="AN54" i="3" s="1"/>
  <c r="AO54" i="3" s="1"/>
  <c r="AP54" i="3" s="1"/>
  <c r="AQ54" i="3" s="1"/>
  <c r="AR54" i="3" s="1"/>
  <c r="AS54" i="3" s="1"/>
  <c r="AT54" i="3" s="1"/>
  <c r="AU54" i="3" s="1"/>
  <c r="AV54" i="3" s="1"/>
  <c r="AW54" i="3" s="1"/>
  <c r="AX54" i="3" s="1"/>
  <c r="AY54" i="3" s="1"/>
  <c r="AZ54" i="3" s="1"/>
  <c r="BA54" i="3" s="1"/>
  <c r="F53" i="3"/>
  <c r="N53" i="3" s="1"/>
  <c r="O53" i="3" s="1"/>
  <c r="P53" i="3" s="1"/>
  <c r="Q53" i="3" s="1"/>
  <c r="R53" i="3" s="1"/>
  <c r="S53" i="3" s="1"/>
  <c r="T53" i="3" s="1"/>
  <c r="U53" i="3" s="1"/>
  <c r="V53" i="3" s="1"/>
  <c r="W53" i="3" s="1"/>
  <c r="X53" i="3" s="1"/>
  <c r="Y53" i="3" s="1"/>
  <c r="Z53" i="3" s="1"/>
  <c r="AA53" i="3" s="1"/>
  <c r="AB53" i="3" s="1"/>
  <c r="AC53" i="3" s="1"/>
  <c r="AD53" i="3" s="1"/>
  <c r="AE53" i="3" s="1"/>
  <c r="AF53" i="3" s="1"/>
  <c r="AG53" i="3" s="1"/>
  <c r="AH53" i="3" s="1"/>
  <c r="AI53" i="3" s="1"/>
  <c r="AJ53" i="3" s="1"/>
  <c r="AK53" i="3" s="1"/>
  <c r="AL53" i="3" s="1"/>
  <c r="AM53" i="3" s="1"/>
  <c r="AN53" i="3" s="1"/>
  <c r="AO53" i="3" s="1"/>
  <c r="AP53" i="3" s="1"/>
  <c r="AQ53" i="3" s="1"/>
  <c r="AR53" i="3" s="1"/>
  <c r="AS53" i="3" s="1"/>
  <c r="AT53" i="3" s="1"/>
  <c r="AU53" i="3" s="1"/>
  <c r="AV53" i="3" s="1"/>
  <c r="AW53" i="3" s="1"/>
  <c r="AX53" i="3" s="1"/>
  <c r="AY53" i="3" s="1"/>
  <c r="AZ53" i="3" s="1"/>
  <c r="BA53" i="3" s="1"/>
  <c r="F44" i="3"/>
  <c r="N44" i="3" s="1"/>
  <c r="O44" i="3" s="1"/>
  <c r="P44" i="3" s="1"/>
  <c r="Q44" i="3" s="1"/>
  <c r="R44" i="3" s="1"/>
  <c r="S44" i="3" s="1"/>
  <c r="T44" i="3" s="1"/>
  <c r="U44" i="3" s="1"/>
  <c r="V44" i="3" s="1"/>
  <c r="W44" i="3" s="1"/>
  <c r="X44" i="3" s="1"/>
  <c r="Y44" i="3" s="1"/>
  <c r="Z44" i="3" s="1"/>
  <c r="AA44" i="3" s="1"/>
  <c r="AB44" i="3" s="1"/>
  <c r="AC44" i="3" s="1"/>
  <c r="AD44" i="3" s="1"/>
  <c r="AE44" i="3" s="1"/>
  <c r="AF44" i="3" s="1"/>
  <c r="AG44" i="3" s="1"/>
  <c r="AH44" i="3" s="1"/>
  <c r="AI44" i="3" s="1"/>
  <c r="AJ44" i="3" s="1"/>
  <c r="AK44" i="3" s="1"/>
  <c r="AL44" i="3" s="1"/>
  <c r="AM44" i="3" s="1"/>
  <c r="AN44" i="3" s="1"/>
  <c r="AO44" i="3" s="1"/>
  <c r="AP44" i="3" s="1"/>
  <c r="AQ44" i="3" s="1"/>
  <c r="AR44" i="3" s="1"/>
  <c r="AS44" i="3" s="1"/>
  <c r="AT44" i="3" s="1"/>
  <c r="AU44" i="3" s="1"/>
  <c r="AV44" i="3" s="1"/>
  <c r="AW44" i="3" s="1"/>
  <c r="AX44" i="3" s="1"/>
  <c r="AY44" i="3" s="1"/>
  <c r="AZ44" i="3" s="1"/>
  <c r="BA44" i="3" s="1"/>
  <c r="F35" i="8"/>
  <c r="M35" i="8" s="1"/>
  <c r="N35" i="8" s="1"/>
  <c r="O35" i="8" s="1"/>
  <c r="P35" i="8" s="1"/>
  <c r="Q35" i="8" s="1"/>
  <c r="R35" i="8" s="1"/>
  <c r="S35" i="8" s="1"/>
  <c r="T35" i="8" s="1"/>
  <c r="U35" i="8" s="1"/>
  <c r="V35" i="8" s="1"/>
  <c r="W35" i="8" s="1"/>
  <c r="X35" i="8" s="1"/>
  <c r="Y35" i="8" s="1"/>
  <c r="Z35" i="8" s="1"/>
  <c r="AA35" i="8" s="1"/>
  <c r="AB35" i="8" s="1"/>
  <c r="AC35" i="8" s="1"/>
  <c r="AD35" i="8" s="1"/>
  <c r="AE35" i="8" s="1"/>
  <c r="AF35" i="8" s="1"/>
  <c r="AG35" i="8" s="1"/>
  <c r="AH35" i="8" s="1"/>
  <c r="AI35" i="8" s="1"/>
  <c r="AJ35" i="8" s="1"/>
  <c r="AK35" i="8" s="1"/>
  <c r="AL35" i="8" s="1"/>
  <c r="AM35" i="8" s="1"/>
  <c r="AN35" i="8" s="1"/>
  <c r="AO35" i="8" s="1"/>
  <c r="AP35" i="8" s="1"/>
  <c r="AQ35" i="8" s="1"/>
  <c r="AR35" i="8" s="1"/>
  <c r="AS35" i="8" s="1"/>
  <c r="AT35" i="8" s="1"/>
  <c r="AU35" i="8" s="1"/>
  <c r="AV35" i="8" s="1"/>
  <c r="AW35" i="8" s="1"/>
  <c r="AX35" i="8" s="1"/>
  <c r="AY35" i="8" s="1"/>
  <c r="AZ35" i="8" s="1"/>
  <c r="F50" i="3"/>
  <c r="F25" i="8"/>
  <c r="M25" i="8" s="1"/>
  <c r="AZ25" i="8" s="1"/>
  <c r="F34" i="8"/>
  <c r="F6" i="3"/>
  <c r="N8" i="3" s="1"/>
  <c r="O8" i="3" s="1"/>
  <c r="P8" i="3" s="1"/>
  <c r="Q8" i="3" s="1"/>
  <c r="R8" i="3" s="1"/>
  <c r="S8" i="3" s="1"/>
  <c r="T8" i="3" s="1"/>
  <c r="U8" i="3" s="1"/>
  <c r="V8" i="3" s="1"/>
  <c r="W8" i="3" s="1"/>
  <c r="X8" i="3" s="1"/>
  <c r="Y8" i="3" s="1"/>
  <c r="Z8" i="3" s="1"/>
  <c r="AA8" i="3" s="1"/>
  <c r="AB8" i="3" s="1"/>
  <c r="AC8" i="3" s="1"/>
  <c r="AD8" i="3" s="1"/>
  <c r="AE8" i="3" s="1"/>
  <c r="AF8" i="3" s="1"/>
  <c r="AG8" i="3" s="1"/>
  <c r="AH8" i="3" s="1"/>
  <c r="AI8" i="3" s="1"/>
  <c r="AJ8" i="3" s="1"/>
  <c r="AK8" i="3" s="1"/>
  <c r="AL8" i="3" s="1"/>
  <c r="AM8" i="3" s="1"/>
  <c r="AN8" i="3" s="1"/>
  <c r="AO8" i="3" s="1"/>
  <c r="AP8" i="3" s="1"/>
  <c r="AQ8" i="3" s="1"/>
  <c r="AR8" i="3" s="1"/>
  <c r="AS8" i="3" s="1"/>
  <c r="AT8" i="3" s="1"/>
  <c r="AU8" i="3" s="1"/>
  <c r="AV8" i="3" s="1"/>
  <c r="AW8" i="3" s="1"/>
  <c r="AX8" i="3" s="1"/>
  <c r="AY8" i="3" s="1"/>
  <c r="AZ8" i="3" s="1"/>
  <c r="BA8" i="3" s="1"/>
  <c r="F28" i="8"/>
  <c r="M28" i="8" s="1"/>
  <c r="N28" i="8" s="1"/>
  <c r="O28" i="8" s="1"/>
  <c r="P28" i="8" s="1"/>
  <c r="Q28" i="8" s="1"/>
  <c r="R28" i="8" s="1"/>
  <c r="S28" i="8" s="1"/>
  <c r="T28" i="8" s="1"/>
  <c r="U28" i="8" s="1"/>
  <c r="V28" i="8" s="1"/>
  <c r="W28" i="8" s="1"/>
  <c r="X28" i="8" s="1"/>
  <c r="Y28" i="8" s="1"/>
  <c r="Z28" i="8" s="1"/>
  <c r="AA28" i="8" s="1"/>
  <c r="AB28" i="8" s="1"/>
  <c r="AC28" i="8" s="1"/>
  <c r="AD28" i="8" s="1"/>
  <c r="AE28" i="8" s="1"/>
  <c r="AF28" i="8" s="1"/>
  <c r="AG28" i="8" s="1"/>
  <c r="AH28" i="8" s="1"/>
  <c r="AI28" i="8" s="1"/>
  <c r="AJ28" i="8" s="1"/>
  <c r="AK28" i="8" s="1"/>
  <c r="AL28" i="8" s="1"/>
  <c r="AM28" i="8" s="1"/>
  <c r="AN28" i="8" s="1"/>
  <c r="AO28" i="8" s="1"/>
  <c r="AP28" i="8" s="1"/>
  <c r="AQ28" i="8" s="1"/>
  <c r="AR28" i="8" s="1"/>
  <c r="AS28" i="8" s="1"/>
  <c r="AT28" i="8" s="1"/>
  <c r="AU28" i="8" s="1"/>
  <c r="AV28" i="8" s="1"/>
  <c r="AW28" i="8" s="1"/>
  <c r="AX28" i="8" s="1"/>
  <c r="AY28" i="8" s="1"/>
  <c r="AZ28" i="8" s="1"/>
  <c r="F26" i="8"/>
  <c r="M26" i="8" s="1"/>
  <c r="N26" i="8" s="1"/>
  <c r="O26" i="8" s="1"/>
  <c r="P26" i="8" s="1"/>
  <c r="Q26" i="8" s="1"/>
  <c r="R26" i="8" s="1"/>
  <c r="S26" i="8" s="1"/>
  <c r="T26" i="8" s="1"/>
  <c r="U26" i="8" s="1"/>
  <c r="V26" i="8" s="1"/>
  <c r="W26" i="8" s="1"/>
  <c r="X26" i="8" s="1"/>
  <c r="Y26" i="8" s="1"/>
  <c r="Z26" i="8" s="1"/>
  <c r="AA26" i="8" s="1"/>
  <c r="AB26" i="8" s="1"/>
  <c r="AC26" i="8" s="1"/>
  <c r="AD26" i="8" s="1"/>
  <c r="AE26" i="8" s="1"/>
  <c r="AF26" i="8" s="1"/>
  <c r="AG26" i="8" s="1"/>
  <c r="AH26" i="8" s="1"/>
  <c r="AI26" i="8" s="1"/>
  <c r="AJ26" i="8" s="1"/>
  <c r="AK26" i="8" s="1"/>
  <c r="AL26" i="8" s="1"/>
  <c r="AM26" i="8" s="1"/>
  <c r="AN26" i="8" s="1"/>
  <c r="AO26" i="8" s="1"/>
  <c r="AP26" i="8" s="1"/>
  <c r="AQ26" i="8" s="1"/>
  <c r="AR26" i="8" s="1"/>
  <c r="AS26" i="8" s="1"/>
  <c r="AT26" i="8" s="1"/>
  <c r="AU26" i="8" s="1"/>
  <c r="AV26" i="8" s="1"/>
  <c r="AW26" i="8" s="1"/>
  <c r="AX26" i="8" s="1"/>
  <c r="AY26" i="8" s="1"/>
  <c r="AZ26" i="8" s="1"/>
  <c r="F27" i="8"/>
  <c r="M27" i="8" s="1"/>
  <c r="D80" i="8"/>
  <c r="D81" i="8"/>
  <c r="AK20" i="8"/>
  <c r="AK21" i="8" s="1"/>
  <c r="R18" i="8"/>
  <c r="R21" i="8" s="1"/>
  <c r="AD19" i="8"/>
  <c r="AD21" i="8" s="1"/>
  <c r="Z19" i="8"/>
  <c r="Z21" i="8" s="1"/>
  <c r="AZ20" i="8"/>
  <c r="AZ21" i="8" s="1"/>
  <c r="AR20" i="8"/>
  <c r="AR21" i="8" s="1"/>
  <c r="AN20" i="8"/>
  <c r="AN21" i="8" s="1"/>
  <c r="AJ20" i="8"/>
  <c r="AJ21" i="8" s="1"/>
  <c r="P17" i="8"/>
  <c r="P21" i="8" s="1"/>
  <c r="V18" i="8"/>
  <c r="V21" i="8" s="1"/>
  <c r="W19" i="8"/>
  <c r="W21" i="8" s="1"/>
  <c r="AC19" i="8"/>
  <c r="AC21" i="8" s="1"/>
  <c r="Y19" i="8"/>
  <c r="Y21" i="8" s="1"/>
  <c r="AY20" i="8"/>
  <c r="AY21" i="8" s="1"/>
  <c r="AU20" i="8"/>
  <c r="AU21" i="8" s="1"/>
  <c r="AQ20" i="8"/>
  <c r="AQ21" i="8" s="1"/>
  <c r="AM20" i="8"/>
  <c r="AM21" i="8" s="1"/>
  <c r="AI20" i="8"/>
  <c r="AI21" i="8" s="1"/>
  <c r="O17" i="8"/>
  <c r="O21" i="8" s="1"/>
  <c r="U18" i="8"/>
  <c r="U21" i="8" s="1"/>
  <c r="AF19" i="8"/>
  <c r="AF21" i="8" s="1"/>
  <c r="AB19" i="8"/>
  <c r="AB21" i="8" s="1"/>
  <c r="X19" i="8"/>
  <c r="X21" i="8" s="1"/>
  <c r="AX20" i="8"/>
  <c r="AX21" i="8" s="1"/>
  <c r="AT20" i="8"/>
  <c r="AT21" i="8" s="1"/>
  <c r="AP20" i="8"/>
  <c r="AP21" i="8" s="1"/>
  <c r="AL20" i="8"/>
  <c r="AL21" i="8" s="1"/>
  <c r="AH20" i="8"/>
  <c r="AH21" i="8" s="1"/>
  <c r="Q17" i="8"/>
  <c r="Q21" i="8" s="1"/>
  <c r="S18" i="8"/>
  <c r="S21" i="8" s="1"/>
  <c r="AV20" i="8"/>
  <c r="AV21" i="8" s="1"/>
  <c r="M17" i="8"/>
  <c r="M21" i="8" s="1"/>
  <c r="M42" i="8" s="1"/>
  <c r="N17" i="8"/>
  <c r="N21" i="8" s="1"/>
  <c r="T18" i="8"/>
  <c r="T21" i="8" s="1"/>
  <c r="AE19" i="8"/>
  <c r="AE21" i="8" s="1"/>
  <c r="AA19" i="8"/>
  <c r="AA21" i="8" s="1"/>
  <c r="AG20" i="8"/>
  <c r="AG21" i="8" s="1"/>
  <c r="AW20" i="8"/>
  <c r="AW21" i="8" s="1"/>
  <c r="AS20" i="8"/>
  <c r="AS21" i="8" s="1"/>
  <c r="AO20" i="8"/>
  <c r="AO21" i="8" s="1"/>
  <c r="O15" i="8" l="1"/>
  <c r="P12" i="8"/>
  <c r="Q12" i="8" s="1"/>
  <c r="R12" i="8" s="1"/>
  <c r="S12" i="8" s="1"/>
  <c r="T12" i="8" s="1"/>
  <c r="U12" i="8" s="1"/>
  <c r="V12" i="8" s="1"/>
  <c r="W12" i="8" s="1"/>
  <c r="X12" i="8" s="1"/>
  <c r="Y12" i="8" s="1"/>
  <c r="Z12" i="8" s="1"/>
  <c r="AA12" i="8" s="1"/>
  <c r="AB12" i="8" s="1"/>
  <c r="AC12" i="8" s="1"/>
  <c r="AD12" i="8" s="1"/>
  <c r="AE12" i="8" s="1"/>
  <c r="AF12" i="8" s="1"/>
  <c r="AG12" i="8" s="1"/>
  <c r="AH12" i="8" s="1"/>
  <c r="AI12" i="8" s="1"/>
  <c r="AJ12" i="8" s="1"/>
  <c r="AK12" i="8" s="1"/>
  <c r="AL12" i="8" s="1"/>
  <c r="AM12" i="8" s="1"/>
  <c r="AN12" i="8" s="1"/>
  <c r="AO12" i="8" s="1"/>
  <c r="AP12" i="8" s="1"/>
  <c r="AQ12" i="8" s="1"/>
  <c r="AR12" i="8" s="1"/>
  <c r="AS12" i="8" s="1"/>
  <c r="AT12" i="8" s="1"/>
  <c r="AU12" i="8" s="1"/>
  <c r="AV12" i="8" s="1"/>
  <c r="AW12" i="8" s="1"/>
  <c r="AX12" i="8" s="1"/>
  <c r="AY12" i="8" s="1"/>
  <c r="AZ12" i="8" s="1"/>
  <c r="P13" i="8"/>
  <c r="Q13" i="8" s="1"/>
  <c r="R13" i="8" s="1"/>
  <c r="S13" i="8" s="1"/>
  <c r="T13" i="8" s="1"/>
  <c r="U13" i="8" s="1"/>
  <c r="V13" i="8" s="1"/>
  <c r="W13" i="8" s="1"/>
  <c r="X13" i="8" s="1"/>
  <c r="Y13" i="8" s="1"/>
  <c r="Z13" i="8" s="1"/>
  <c r="AA13" i="8" s="1"/>
  <c r="AB13" i="8" s="1"/>
  <c r="AC13" i="8" s="1"/>
  <c r="AD13" i="8" s="1"/>
  <c r="AE13" i="8" s="1"/>
  <c r="AF13" i="8" s="1"/>
  <c r="AG13" i="8" s="1"/>
  <c r="AH13" i="8" s="1"/>
  <c r="AI13" i="8" s="1"/>
  <c r="AJ13" i="8" s="1"/>
  <c r="AK13" i="8" s="1"/>
  <c r="AL13" i="8" s="1"/>
  <c r="AM13" i="8" s="1"/>
  <c r="AN13" i="8" s="1"/>
  <c r="AO13" i="8" s="1"/>
  <c r="AP13" i="8" s="1"/>
  <c r="AQ13" i="8" s="1"/>
  <c r="AR13" i="8" s="1"/>
  <c r="AS13" i="8" s="1"/>
  <c r="AT13" i="8" s="1"/>
  <c r="AU13" i="8" s="1"/>
  <c r="AV13" i="8" s="1"/>
  <c r="AW13" i="8" s="1"/>
  <c r="AX13" i="8" s="1"/>
  <c r="AY13" i="8" s="1"/>
  <c r="AZ13" i="8" s="1"/>
  <c r="P8" i="8"/>
  <c r="Q8" i="8" s="1"/>
  <c r="R8" i="8" s="1"/>
  <c r="S8" i="8" s="1"/>
  <c r="T8" i="8" s="1"/>
  <c r="U8" i="8" s="1"/>
  <c r="V8" i="8" s="1"/>
  <c r="W8" i="8" s="1"/>
  <c r="X8" i="8" s="1"/>
  <c r="Y8" i="8" s="1"/>
  <c r="Z8" i="8" s="1"/>
  <c r="AA8" i="8" s="1"/>
  <c r="AB8" i="8" s="1"/>
  <c r="AC8" i="8" s="1"/>
  <c r="AD8" i="8" s="1"/>
  <c r="AE8" i="8" s="1"/>
  <c r="AF8" i="8" s="1"/>
  <c r="AG8" i="8" s="1"/>
  <c r="AH8" i="8" s="1"/>
  <c r="AI8" i="8" s="1"/>
  <c r="AJ8" i="8" s="1"/>
  <c r="AK8" i="8" s="1"/>
  <c r="AL8" i="8" s="1"/>
  <c r="AM8" i="8" s="1"/>
  <c r="AN8" i="8" s="1"/>
  <c r="AO8" i="8" s="1"/>
  <c r="AP8" i="8" s="1"/>
  <c r="AQ8" i="8" s="1"/>
  <c r="AR8" i="8" s="1"/>
  <c r="AS8" i="8" s="1"/>
  <c r="AT8" i="8" s="1"/>
  <c r="AU8" i="8" s="1"/>
  <c r="AV8" i="8" s="1"/>
  <c r="AW8" i="8" s="1"/>
  <c r="AX8" i="8" s="1"/>
  <c r="AY8" i="8" s="1"/>
  <c r="AZ8" i="8" s="1"/>
  <c r="AN43" i="8"/>
  <c r="AN19" i="13" s="1"/>
  <c r="P10" i="8"/>
  <c r="O14" i="8"/>
  <c r="P7" i="8"/>
  <c r="P11" i="8"/>
  <c r="Q11" i="8" s="1"/>
  <c r="R11" i="8" s="1"/>
  <c r="S11" i="8" s="1"/>
  <c r="T11" i="8" s="1"/>
  <c r="U11" i="8" s="1"/>
  <c r="V11" i="8" s="1"/>
  <c r="W11" i="8" s="1"/>
  <c r="X11" i="8" s="1"/>
  <c r="Y11" i="8" s="1"/>
  <c r="Z11" i="8" s="1"/>
  <c r="AA11" i="8" s="1"/>
  <c r="AB11" i="8" s="1"/>
  <c r="AC11" i="8" s="1"/>
  <c r="AD11" i="8" s="1"/>
  <c r="AE11" i="8" s="1"/>
  <c r="AF11" i="8" s="1"/>
  <c r="AG11" i="8" s="1"/>
  <c r="AH11" i="8" s="1"/>
  <c r="AI11" i="8" s="1"/>
  <c r="AJ11" i="8" s="1"/>
  <c r="AK11" i="8" s="1"/>
  <c r="AL11" i="8" s="1"/>
  <c r="AM11" i="8" s="1"/>
  <c r="AN11" i="8" s="1"/>
  <c r="AO11" i="8" s="1"/>
  <c r="AP11" i="8" s="1"/>
  <c r="AQ11" i="8" s="1"/>
  <c r="AR11" i="8" s="1"/>
  <c r="AS11" i="8" s="1"/>
  <c r="AT11" i="8" s="1"/>
  <c r="AU11" i="8" s="1"/>
  <c r="AV11" i="8" s="1"/>
  <c r="AW11" i="8" s="1"/>
  <c r="AX11" i="8" s="1"/>
  <c r="AY11" i="8" s="1"/>
  <c r="AZ11" i="8" s="1"/>
  <c r="U25" i="8"/>
  <c r="AE25" i="8"/>
  <c r="AO25" i="8"/>
  <c r="AG25" i="8"/>
  <c r="Q25" i="8"/>
  <c r="AP25" i="8"/>
  <c r="AA25" i="8"/>
  <c r="AT25" i="8"/>
  <c r="X25" i="8"/>
  <c r="AK25" i="8"/>
  <c r="AI25" i="8"/>
  <c r="AM25" i="8"/>
  <c r="V25" i="8"/>
  <c r="AC25" i="8"/>
  <c r="Z25" i="8"/>
  <c r="T25" i="8"/>
  <c r="AW25" i="8"/>
  <c r="Y25" i="8"/>
  <c r="AX25" i="8"/>
  <c r="AV25" i="8"/>
  <c r="AR25" i="8"/>
  <c r="AY25" i="8"/>
  <c r="S25" i="8"/>
  <c r="AS25" i="8"/>
  <c r="AU25" i="8"/>
  <c r="AF25" i="8"/>
  <c r="AL25" i="8"/>
  <c r="W25" i="8"/>
  <c r="AD25" i="8"/>
  <c r="R25" i="8"/>
  <c r="AQ25" i="8"/>
  <c r="AH25" i="8"/>
  <c r="N25" i="8"/>
  <c r="AB25" i="8"/>
  <c r="AN25" i="8"/>
  <c r="O25" i="8"/>
  <c r="AJ25" i="8"/>
  <c r="P25" i="8"/>
  <c r="S43" i="8"/>
  <c r="S19" i="13" s="1"/>
  <c r="AT27" i="8"/>
  <c r="U27" i="8"/>
  <c r="AV27" i="8"/>
  <c r="O27" i="8"/>
  <c r="AJ27" i="8"/>
  <c r="AB27" i="8"/>
  <c r="AN27" i="8"/>
  <c r="AF27" i="8"/>
  <c r="AR27" i="8"/>
  <c r="AU27" i="8"/>
  <c r="V27" i="8"/>
  <c r="R27" i="8"/>
  <c r="AW27" i="8"/>
  <c r="Z27" i="8"/>
  <c r="AL27" i="8"/>
  <c r="AC27" i="8"/>
  <c r="AE27" i="8"/>
  <c r="AP27" i="8"/>
  <c r="S27" i="8"/>
  <c r="T27" i="8"/>
  <c r="AX27" i="8"/>
  <c r="P27" i="8"/>
  <c r="AY27" i="8"/>
  <c r="Q27" i="8"/>
  <c r="X27" i="8"/>
  <c r="Y27" i="8"/>
  <c r="AK27" i="8"/>
  <c r="AM27" i="8"/>
  <c r="AO27" i="8"/>
  <c r="AQ27" i="8"/>
  <c r="AZ27" i="8"/>
  <c r="N27" i="8"/>
  <c r="AG27" i="8"/>
  <c r="AH27" i="8"/>
  <c r="AI27" i="8"/>
  <c r="AA27" i="8"/>
  <c r="AD27" i="8"/>
  <c r="W27" i="8"/>
  <c r="AS27" i="8"/>
  <c r="M34" i="8"/>
  <c r="X43" i="8"/>
  <c r="X19" i="13" s="1"/>
  <c r="M31" i="8"/>
  <c r="L31" i="8" s="1"/>
  <c r="M43" i="8"/>
  <c r="V43" i="8"/>
  <c r="V19" i="13" s="1"/>
  <c r="AY43" i="8"/>
  <c r="AY19" i="13" s="1"/>
  <c r="AM43" i="8"/>
  <c r="AM19" i="13" s="1"/>
  <c r="AU43" i="8"/>
  <c r="AU19" i="13" s="1"/>
  <c r="R43" i="8"/>
  <c r="R19" i="13" s="1"/>
  <c r="O43" i="8"/>
  <c r="O19" i="13" s="1"/>
  <c r="AV43" i="8"/>
  <c r="AV19" i="13" s="1"/>
  <c r="AW43" i="8"/>
  <c r="AW19" i="13" s="1"/>
  <c r="Z43" i="8"/>
  <c r="Z19" i="13" s="1"/>
  <c r="AC43" i="8"/>
  <c r="AC19" i="13" s="1"/>
  <c r="U43" i="8"/>
  <c r="U19" i="13" s="1"/>
  <c r="W43" i="8"/>
  <c r="W19" i="13" s="1"/>
  <c r="AE43" i="8"/>
  <c r="AE19" i="13" s="1"/>
  <c r="AG43" i="8"/>
  <c r="AG19" i="13" s="1"/>
  <c r="AD43" i="8"/>
  <c r="AD19" i="13" s="1"/>
  <c r="AO45" i="8"/>
  <c r="AO20" i="13" s="1"/>
  <c r="AL45" i="8"/>
  <c r="AL20" i="13" s="1"/>
  <c r="AX43" i="8"/>
  <c r="AX19" i="13" s="1"/>
  <c r="AL43" i="8"/>
  <c r="AL19" i="13" s="1"/>
  <c r="AH43" i="8"/>
  <c r="AH19" i="13" s="1"/>
  <c r="AK43" i="8"/>
  <c r="AK19" i="13" s="1"/>
  <c r="N43" i="8"/>
  <c r="N19" i="13" s="1"/>
  <c r="AH45" i="8"/>
  <c r="AH20" i="13" s="1"/>
  <c r="V32" i="8"/>
  <c r="V45" i="8" s="1"/>
  <c r="V20" i="13" s="1"/>
  <c r="AD32" i="8"/>
  <c r="AD45" i="8" s="1"/>
  <c r="AD20" i="13" s="1"/>
  <c r="AX32" i="8"/>
  <c r="AX45" i="8" s="1"/>
  <c r="AX20" i="13" s="1"/>
  <c r="AT43" i="8"/>
  <c r="AT19" i="13" s="1"/>
  <c r="AS43" i="8"/>
  <c r="AS19" i="13" s="1"/>
  <c r="AI45" i="8"/>
  <c r="AI20" i="13" s="1"/>
  <c r="AI43" i="8"/>
  <c r="AI19" i="13" s="1"/>
  <c r="AA43" i="8"/>
  <c r="AA19" i="13" s="1"/>
  <c r="T43" i="8"/>
  <c r="T19" i="13" s="1"/>
  <c r="Y43" i="8"/>
  <c r="Y19" i="13" s="1"/>
  <c r="AB43" i="8"/>
  <c r="AB19" i="13" s="1"/>
  <c r="O32" i="8"/>
  <c r="O45" i="8" s="1"/>
  <c r="O20" i="13" s="1"/>
  <c r="AO43" i="8"/>
  <c r="AO19" i="13" s="1"/>
  <c r="AQ43" i="8"/>
  <c r="AQ19" i="13" s="1"/>
  <c r="AB45" i="8"/>
  <c r="AB20" i="13" s="1"/>
  <c r="AE32" i="8"/>
  <c r="AE45" i="8" s="1"/>
  <c r="AE20" i="13" s="1"/>
  <c r="AC32" i="8"/>
  <c r="AC45" i="8" s="1"/>
  <c r="AC20" i="13" s="1"/>
  <c r="AF43" i="8"/>
  <c r="AF19" i="13" s="1"/>
  <c r="AW32" i="8"/>
  <c r="AW45" i="8" s="1"/>
  <c r="AW20" i="13" s="1"/>
  <c r="Q43" i="8"/>
  <c r="Q19" i="13" s="1"/>
  <c r="AK32" i="8"/>
  <c r="AK45" i="8" s="1"/>
  <c r="AK20" i="13" s="1"/>
  <c r="AR43" i="8"/>
  <c r="AR19" i="13" s="1"/>
  <c r="P43" i="8"/>
  <c r="P19" i="13" s="1"/>
  <c r="AJ43" i="8"/>
  <c r="AJ19" i="13" s="1"/>
  <c r="AZ43" i="8"/>
  <c r="AZ19" i="13" s="1"/>
  <c r="Z32" i="8"/>
  <c r="Z45" i="8" s="1"/>
  <c r="Z20" i="13" s="1"/>
  <c r="AP43" i="8"/>
  <c r="AP19" i="13" s="1"/>
  <c r="Q32" i="8"/>
  <c r="Q45" i="8" s="1"/>
  <c r="Q20" i="13" s="1"/>
  <c r="AM32" i="8"/>
  <c r="AM45" i="8" s="1"/>
  <c r="AM20" i="13" s="1"/>
  <c r="X32" i="8"/>
  <c r="X45" i="8" s="1"/>
  <c r="X20" i="13" s="1"/>
  <c r="AY32" i="8"/>
  <c r="AY45" i="8" s="1"/>
  <c r="AY20" i="13" s="1"/>
  <c r="M32" i="8"/>
  <c r="S32" i="8"/>
  <c r="S45" i="8" s="1"/>
  <c r="S20" i="13" s="1"/>
  <c r="W32" i="8"/>
  <c r="W45" i="8" s="1"/>
  <c r="W20" i="13" s="1"/>
  <c r="AS32" i="8"/>
  <c r="AS45" i="8" s="1"/>
  <c r="AS20" i="13" s="1"/>
  <c r="AP32" i="8"/>
  <c r="AP45" i="8" s="1"/>
  <c r="AP20" i="13" s="1"/>
  <c r="AN32" i="8"/>
  <c r="AN45" i="8" s="1"/>
  <c r="AN20" i="13" s="1"/>
  <c r="AR32" i="8"/>
  <c r="AR45" i="8" s="1"/>
  <c r="AR20" i="13" s="1"/>
  <c r="P32" i="8"/>
  <c r="P45" i="8" s="1"/>
  <c r="P20" i="13" s="1"/>
  <c r="AU32" i="8"/>
  <c r="AU45" i="8" s="1"/>
  <c r="AU20" i="13" s="1"/>
  <c r="AJ32" i="8"/>
  <c r="AJ45" i="8" s="1"/>
  <c r="AJ20" i="13" s="1"/>
  <c r="AV32" i="8"/>
  <c r="AV45" i="8" s="1"/>
  <c r="AV20" i="13" s="1"/>
  <c r="AT32" i="8"/>
  <c r="AT45" i="8" s="1"/>
  <c r="AT20" i="13" s="1"/>
  <c r="T32" i="8"/>
  <c r="T45" i="8" s="1"/>
  <c r="T20" i="13" s="1"/>
  <c r="U32" i="8"/>
  <c r="U45" i="8" s="1"/>
  <c r="U20" i="13" s="1"/>
  <c r="R32" i="8"/>
  <c r="R45" i="8" s="1"/>
  <c r="R20" i="13" s="1"/>
  <c r="AF45" i="8"/>
  <c r="AF20" i="13" s="1"/>
  <c r="Y45" i="8"/>
  <c r="Y20" i="13" s="1"/>
  <c r="AG45" i="8"/>
  <c r="AG20" i="13" s="1"/>
  <c r="N45" i="8"/>
  <c r="N20" i="13" s="1"/>
  <c r="AQ45" i="8"/>
  <c r="AQ20" i="13" s="1"/>
  <c r="AZ45" i="8"/>
  <c r="AZ20" i="13" s="1"/>
  <c r="AA45" i="8"/>
  <c r="AA20" i="13" s="1"/>
  <c r="N7" i="3"/>
  <c r="O7" i="3" s="1"/>
  <c r="P7" i="3" s="1"/>
  <c r="Q7" i="3" s="1"/>
  <c r="R7" i="3" s="1"/>
  <c r="S7" i="3" s="1"/>
  <c r="T7" i="3" s="1"/>
  <c r="U7" i="3" s="1"/>
  <c r="V7" i="3" s="1"/>
  <c r="W7" i="3" s="1"/>
  <c r="X7" i="3" s="1"/>
  <c r="Y7" i="3" s="1"/>
  <c r="Z7" i="3" s="1"/>
  <c r="AA7" i="3" s="1"/>
  <c r="AB7" i="3" s="1"/>
  <c r="AC7" i="3" s="1"/>
  <c r="AD7" i="3" s="1"/>
  <c r="AE7" i="3" s="1"/>
  <c r="AF7" i="3" s="1"/>
  <c r="AG7" i="3" s="1"/>
  <c r="AH7" i="3" s="1"/>
  <c r="AI7" i="3" s="1"/>
  <c r="AJ7" i="3" s="1"/>
  <c r="AK7" i="3" s="1"/>
  <c r="AL7" i="3" s="1"/>
  <c r="AM7" i="3" s="1"/>
  <c r="AN7" i="3" s="1"/>
  <c r="AO7" i="3" s="1"/>
  <c r="AP7" i="3" s="1"/>
  <c r="AQ7" i="3" s="1"/>
  <c r="AR7" i="3" s="1"/>
  <c r="AS7" i="3" s="1"/>
  <c r="AT7" i="3" s="1"/>
  <c r="AU7" i="3" s="1"/>
  <c r="AV7" i="3" s="1"/>
  <c r="AW7" i="3" s="1"/>
  <c r="AX7" i="3" s="1"/>
  <c r="AY7" i="3" s="1"/>
  <c r="AZ7" i="3" s="1"/>
  <c r="BA7" i="3" s="1"/>
  <c r="N9" i="3"/>
  <c r="O9" i="3" s="1"/>
  <c r="P9" i="3" s="1"/>
  <c r="Q9" i="3" s="1"/>
  <c r="R9" i="3" s="1"/>
  <c r="S9" i="3" s="1"/>
  <c r="T9" i="3" s="1"/>
  <c r="U9" i="3" s="1"/>
  <c r="V9" i="3" s="1"/>
  <c r="W9" i="3" s="1"/>
  <c r="X9" i="3" s="1"/>
  <c r="Y9" i="3" s="1"/>
  <c r="Z9" i="3" s="1"/>
  <c r="AA9" i="3" s="1"/>
  <c r="AB9" i="3" s="1"/>
  <c r="AC9" i="3" s="1"/>
  <c r="AD9" i="3" s="1"/>
  <c r="AE9" i="3" s="1"/>
  <c r="AF9" i="3" s="1"/>
  <c r="AG9" i="3" s="1"/>
  <c r="AH9" i="3" s="1"/>
  <c r="AI9" i="3" s="1"/>
  <c r="AJ9" i="3" s="1"/>
  <c r="AK9" i="3" s="1"/>
  <c r="AL9" i="3" s="1"/>
  <c r="AM9" i="3" s="1"/>
  <c r="AN9" i="3" s="1"/>
  <c r="AO9" i="3" s="1"/>
  <c r="AP9" i="3" s="1"/>
  <c r="AQ9" i="3" s="1"/>
  <c r="AR9" i="3" s="1"/>
  <c r="AS9" i="3" s="1"/>
  <c r="AT9" i="3" s="1"/>
  <c r="AU9" i="3" s="1"/>
  <c r="AV9" i="3" s="1"/>
  <c r="AW9" i="3" s="1"/>
  <c r="AX9" i="3" s="1"/>
  <c r="AY9" i="3" s="1"/>
  <c r="AZ9" i="3" s="1"/>
  <c r="BA9" i="3" s="1"/>
  <c r="U22" i="8"/>
  <c r="U44" i="8" s="1"/>
  <c r="U15" i="13" s="1"/>
  <c r="U23" i="8"/>
  <c r="AQ22" i="8"/>
  <c r="AQ23" i="8"/>
  <c r="AU22" i="8"/>
  <c r="AU23" i="8"/>
  <c r="S22" i="8"/>
  <c r="S23" i="8"/>
  <c r="AK22" i="8"/>
  <c r="AK23" i="8"/>
  <c r="AO22" i="8"/>
  <c r="AO23" i="8"/>
  <c r="AS22" i="8"/>
  <c r="AS23" i="8"/>
  <c r="AA22" i="8"/>
  <c r="AA23" i="8"/>
  <c r="Y22" i="8"/>
  <c r="Y23" i="8"/>
  <c r="M14" i="13"/>
  <c r="M23" i="8"/>
  <c r="AV22" i="8"/>
  <c r="AV23" i="8"/>
  <c r="AJ22" i="8"/>
  <c r="AJ23" i="8"/>
  <c r="AL22" i="8"/>
  <c r="AL23" i="8"/>
  <c r="AN22" i="8"/>
  <c r="AN23" i="8"/>
  <c r="AR22" i="8"/>
  <c r="AR23" i="8"/>
  <c r="AG22" i="8"/>
  <c r="AG23" i="8"/>
  <c r="P22" i="8"/>
  <c r="P23" i="8"/>
  <c r="AP22" i="8"/>
  <c r="AP23" i="8"/>
  <c r="AT22" i="8"/>
  <c r="AT23" i="8"/>
  <c r="AZ22" i="8"/>
  <c r="AZ23" i="8"/>
  <c r="AF22" i="8"/>
  <c r="AF44" i="8" s="1"/>
  <c r="AF15" i="13" s="1"/>
  <c r="AF23" i="8"/>
  <c r="AW22" i="8"/>
  <c r="AW23" i="8"/>
  <c r="AM22" i="8"/>
  <c r="AM23" i="8"/>
  <c r="W22" i="8"/>
  <c r="W23" i="8"/>
  <c r="V22" i="8"/>
  <c r="V23" i="8"/>
  <c r="Q22" i="8"/>
  <c r="Q23" i="8"/>
  <c r="AH22" i="8"/>
  <c r="AH23" i="8"/>
  <c r="AX22" i="8"/>
  <c r="AX23" i="8"/>
  <c r="Z22" i="8"/>
  <c r="Z23" i="8"/>
  <c r="O22" i="8"/>
  <c r="O23" i="8"/>
  <c r="AI22" i="8"/>
  <c r="AI44" i="8" s="1"/>
  <c r="AI15" i="13" s="1"/>
  <c r="AI23" i="8"/>
  <c r="AY22" i="8"/>
  <c r="AY44" i="8" s="1"/>
  <c r="AY15" i="13" s="1"/>
  <c r="AY23" i="8"/>
  <c r="N22" i="8"/>
  <c r="N23" i="8"/>
  <c r="AC22" i="8"/>
  <c r="AC23" i="8"/>
  <c r="X22" i="8"/>
  <c r="X23" i="8"/>
  <c r="AD22" i="8"/>
  <c r="AD23" i="8"/>
  <c r="AE22" i="8"/>
  <c r="AE23" i="8"/>
  <c r="T22" i="8"/>
  <c r="T23" i="8"/>
  <c r="AB22" i="8"/>
  <c r="AB23" i="8"/>
  <c r="R22" i="8"/>
  <c r="R23" i="8"/>
  <c r="K31" i="8"/>
  <c r="J31" i="8" s="1"/>
  <c r="M22" i="8"/>
  <c r="M47" i="8"/>
  <c r="K35" i="8"/>
  <c r="J35" i="8" s="1"/>
  <c r="L35" i="8"/>
  <c r="K21" i="8"/>
  <c r="AG42" i="8"/>
  <c r="AG14" i="13" s="1"/>
  <c r="N42" i="8"/>
  <c r="N14" i="13" s="1"/>
  <c r="Q42" i="8"/>
  <c r="Q14" i="13" s="1"/>
  <c r="AT42" i="8"/>
  <c r="AT14" i="13" s="1"/>
  <c r="AF42" i="8"/>
  <c r="AF14" i="13" s="1"/>
  <c r="AI42" i="8"/>
  <c r="AI14" i="13" s="1"/>
  <c r="AY42" i="8"/>
  <c r="AY14" i="13" s="1"/>
  <c r="V42" i="8"/>
  <c r="V14" i="13" s="1"/>
  <c r="AR42" i="8"/>
  <c r="AR14" i="13" s="1"/>
  <c r="R42" i="8"/>
  <c r="R14" i="13" s="1"/>
  <c r="AP42" i="8"/>
  <c r="AP14" i="13" s="1"/>
  <c r="AK42" i="8"/>
  <c r="AK14" i="13" s="1"/>
  <c r="W42" i="8"/>
  <c r="W14" i="13" s="1"/>
  <c r="S42" i="8"/>
  <c r="S14" i="13" s="1"/>
  <c r="AW42" i="8"/>
  <c r="AW14" i="13" s="1"/>
  <c r="AO42" i="8"/>
  <c r="AO14" i="13" s="1"/>
  <c r="AA42" i="8"/>
  <c r="AA14" i="13" s="1"/>
  <c r="AH42" i="8"/>
  <c r="AH14" i="13" s="1"/>
  <c r="AX42" i="8"/>
  <c r="AX14" i="13" s="1"/>
  <c r="U42" i="8"/>
  <c r="U14" i="13" s="1"/>
  <c r="AM42" i="8"/>
  <c r="AM14" i="13" s="1"/>
  <c r="Y42" i="8"/>
  <c r="Y14" i="13" s="1"/>
  <c r="P42" i="8"/>
  <c r="P14" i="13" s="1"/>
  <c r="AZ42" i="8"/>
  <c r="AZ14" i="13" s="1"/>
  <c r="AD42" i="8"/>
  <c r="AD14" i="13" s="1"/>
  <c r="AU42" i="8"/>
  <c r="AU14" i="13" s="1"/>
  <c r="AN42" i="8"/>
  <c r="AN14" i="13" s="1"/>
  <c r="T42" i="8"/>
  <c r="T14" i="13" s="1"/>
  <c r="AS42" i="8"/>
  <c r="AS14" i="13" s="1"/>
  <c r="AE42" i="8"/>
  <c r="AE14" i="13" s="1"/>
  <c r="AV42" i="8"/>
  <c r="AV14" i="13" s="1"/>
  <c r="AL42" i="8"/>
  <c r="AL14" i="13" s="1"/>
  <c r="X42" i="8"/>
  <c r="X14" i="13" s="1"/>
  <c r="O42" i="8"/>
  <c r="O14" i="13" s="1"/>
  <c r="AQ42" i="8"/>
  <c r="AQ14" i="13" s="1"/>
  <c r="AC42" i="8"/>
  <c r="AC14" i="13" s="1"/>
  <c r="AJ42" i="8"/>
  <c r="AJ14" i="13" s="1"/>
  <c r="Z42" i="8"/>
  <c r="Z14" i="13" s="1"/>
  <c r="AB42" i="8"/>
  <c r="AB14" i="13" s="1"/>
  <c r="K19" i="8"/>
  <c r="J19" i="8" s="1"/>
  <c r="L18" i="8"/>
  <c r="L20" i="8"/>
  <c r="L19" i="8"/>
  <c r="Q10" i="8" l="1"/>
  <c r="P15" i="8"/>
  <c r="V23" i="13"/>
  <c r="K8" i="8"/>
  <c r="J8" i="8" s="1"/>
  <c r="L11" i="8"/>
  <c r="K11" i="8"/>
  <c r="J11" i="8" s="1"/>
  <c r="L8" i="8"/>
  <c r="AN23" i="13"/>
  <c r="L13" i="8"/>
  <c r="K13" i="8"/>
  <c r="J13" i="8" s="1"/>
  <c r="P14" i="8"/>
  <c r="Q7" i="8"/>
  <c r="K9" i="8"/>
  <c r="J9" i="8" s="1"/>
  <c r="L12" i="8"/>
  <c r="L9" i="8"/>
  <c r="K12" i="8"/>
  <c r="J12" i="8" s="1"/>
  <c r="AM23" i="13"/>
  <c r="X23" i="13"/>
  <c r="S23" i="13"/>
  <c r="AD23" i="13"/>
  <c r="AY23" i="13"/>
  <c r="AW23" i="13"/>
  <c r="O23" i="13"/>
  <c r="AU23" i="13"/>
  <c r="AV23" i="13"/>
  <c r="Z23" i="13"/>
  <c r="AG23" i="13"/>
  <c r="AE23" i="13"/>
  <c r="R23" i="13"/>
  <c r="T23" i="13"/>
  <c r="E296" i="12"/>
  <c r="J21" i="8"/>
  <c r="M45" i="8"/>
  <c r="M20" i="13" s="1"/>
  <c r="AP23" i="13"/>
  <c r="U23" i="13"/>
  <c r="W23" i="13"/>
  <c r="AC23" i="13"/>
  <c r="AX23" i="13"/>
  <c r="N23" i="13"/>
  <c r="AT23" i="13"/>
  <c r="AI23" i="13"/>
  <c r="AH23" i="13"/>
  <c r="AL23" i="13"/>
  <c r="P23" i="13"/>
  <c r="AZ23" i="13"/>
  <c r="AI24" i="13"/>
  <c r="AK23" i="13"/>
  <c r="AR23" i="13"/>
  <c r="AS23" i="13"/>
  <c r="AJ23" i="13"/>
  <c r="L43" i="8"/>
  <c r="U24" i="13"/>
  <c r="AB23" i="13"/>
  <c r="Y23" i="13"/>
  <c r="AA23" i="13"/>
  <c r="Q23" i="13"/>
  <c r="M19" i="13"/>
  <c r="L19" i="13" s="1"/>
  <c r="AF23" i="13"/>
  <c r="AQ23" i="13"/>
  <c r="K43" i="8"/>
  <c r="J43" i="8" s="1"/>
  <c r="AO23" i="13"/>
  <c r="K32" i="8"/>
  <c r="J32" i="8" s="1"/>
  <c r="L32" i="8"/>
  <c r="AY24" i="13"/>
  <c r="Q46" i="8"/>
  <c r="Q44" i="8"/>
  <c r="Q15" i="13" s="1"/>
  <c r="Q24" i="13" s="1"/>
  <c r="V46" i="8"/>
  <c r="V44" i="8"/>
  <c r="V15" i="13" s="1"/>
  <c r="V24" i="13" s="1"/>
  <c r="AL46" i="8"/>
  <c r="AL44" i="8"/>
  <c r="AL15" i="13" s="1"/>
  <c r="AL24" i="13" s="1"/>
  <c r="AQ46" i="8"/>
  <c r="AQ44" i="8"/>
  <c r="AQ15" i="13" s="1"/>
  <c r="AQ24" i="13" s="1"/>
  <c r="AZ46" i="8"/>
  <c r="AZ44" i="8"/>
  <c r="AZ15" i="13" s="1"/>
  <c r="AZ24" i="13" s="1"/>
  <c r="AD46" i="8"/>
  <c r="AD44" i="8"/>
  <c r="AD15" i="13" s="1"/>
  <c r="AD24" i="13" s="1"/>
  <c r="AR46" i="8"/>
  <c r="AR44" i="8"/>
  <c r="AR15" i="13" s="1"/>
  <c r="AR24" i="13" s="1"/>
  <c r="AN46" i="8"/>
  <c r="AN44" i="8"/>
  <c r="AN15" i="13" s="1"/>
  <c r="AN24" i="13" s="1"/>
  <c r="AJ46" i="8"/>
  <c r="AJ44" i="8"/>
  <c r="AJ15" i="13" s="1"/>
  <c r="AJ24" i="13" s="1"/>
  <c r="AB46" i="8"/>
  <c r="AB44" i="8"/>
  <c r="AB15" i="13" s="1"/>
  <c r="AB24" i="13" s="1"/>
  <c r="Z46" i="8"/>
  <c r="Z44" i="8"/>
  <c r="Z15" i="13" s="1"/>
  <c r="Z24" i="13" s="1"/>
  <c r="AT46" i="8"/>
  <c r="AT44" i="8"/>
  <c r="AT15" i="13" s="1"/>
  <c r="AT24" i="13" s="1"/>
  <c r="Y46" i="8"/>
  <c r="Y44" i="8"/>
  <c r="Y15" i="13" s="1"/>
  <c r="Y24" i="13" s="1"/>
  <c r="L14" i="13"/>
  <c r="AG46" i="8"/>
  <c r="AG44" i="8"/>
  <c r="AG15" i="13" s="1"/>
  <c r="AG24" i="13" s="1"/>
  <c r="X46" i="8"/>
  <c r="X44" i="8"/>
  <c r="X15" i="13" s="1"/>
  <c r="X24" i="13" s="1"/>
  <c r="R46" i="8"/>
  <c r="R44" i="8"/>
  <c r="R15" i="13" s="1"/>
  <c r="R24" i="13" s="1"/>
  <c r="AF24" i="13"/>
  <c r="AK46" i="8"/>
  <c r="AK44" i="8"/>
  <c r="AK15" i="13" s="1"/>
  <c r="AK24" i="13" s="1"/>
  <c r="AC46" i="8"/>
  <c r="AC44" i="8"/>
  <c r="AC15" i="13" s="1"/>
  <c r="AC24" i="13" s="1"/>
  <c r="AU46" i="8"/>
  <c r="AU44" i="8"/>
  <c r="AU15" i="13" s="1"/>
  <c r="AU24" i="13" s="1"/>
  <c r="T46" i="8"/>
  <c r="T44" i="8"/>
  <c r="T15" i="13" s="1"/>
  <c r="T24" i="13" s="1"/>
  <c r="AX46" i="8"/>
  <c r="AX44" i="8"/>
  <c r="AX15" i="13" s="1"/>
  <c r="AX24" i="13" s="1"/>
  <c r="AP46" i="8"/>
  <c r="AP44" i="8"/>
  <c r="AP15" i="13" s="1"/>
  <c r="AP24" i="13" s="1"/>
  <c r="AA46" i="8"/>
  <c r="AA44" i="8"/>
  <c r="AA15" i="13" s="1"/>
  <c r="AA24" i="13" s="1"/>
  <c r="AO46" i="8"/>
  <c r="AO44" i="8"/>
  <c r="AO15" i="13" s="1"/>
  <c r="AO24" i="13" s="1"/>
  <c r="W46" i="8"/>
  <c r="W44" i="8"/>
  <c r="W15" i="13" s="1"/>
  <c r="W24" i="13" s="1"/>
  <c r="N46" i="8"/>
  <c r="N44" i="8"/>
  <c r="N15" i="13" s="1"/>
  <c r="N24" i="13" s="1"/>
  <c r="O46" i="8"/>
  <c r="O44" i="8"/>
  <c r="O15" i="13" s="1"/>
  <c r="O24" i="13" s="1"/>
  <c r="AM46" i="8"/>
  <c r="AM44" i="8"/>
  <c r="AM15" i="13" s="1"/>
  <c r="AM24" i="13" s="1"/>
  <c r="AV46" i="8"/>
  <c r="AV44" i="8"/>
  <c r="AV15" i="13" s="1"/>
  <c r="AV24" i="13" s="1"/>
  <c r="AE46" i="8"/>
  <c r="AE44" i="8"/>
  <c r="AE15" i="13" s="1"/>
  <c r="AE24" i="13" s="1"/>
  <c r="AH46" i="8"/>
  <c r="AH44" i="8"/>
  <c r="AH15" i="13" s="1"/>
  <c r="AH24" i="13" s="1"/>
  <c r="P46" i="8"/>
  <c r="P44" i="8"/>
  <c r="P15" i="13" s="1"/>
  <c r="P24" i="13" s="1"/>
  <c r="AS46" i="8"/>
  <c r="AS44" i="8"/>
  <c r="AS15" i="13" s="1"/>
  <c r="AS24" i="13" s="1"/>
  <c r="S46" i="8"/>
  <c r="S44" i="8"/>
  <c r="S15" i="13" s="1"/>
  <c r="S24" i="13" s="1"/>
  <c r="M46" i="8"/>
  <c r="M44" i="8"/>
  <c r="AW46" i="8"/>
  <c r="AW44" i="8"/>
  <c r="AW15" i="13" s="1"/>
  <c r="AW24" i="13" s="1"/>
  <c r="K14" i="13"/>
  <c r="K42" i="8"/>
  <c r="J42" i="8" s="1"/>
  <c r="AF46" i="8"/>
  <c r="AY46" i="8"/>
  <c r="U46" i="8"/>
  <c r="AI46" i="8"/>
  <c r="M48" i="8"/>
  <c r="M21" i="13" s="1"/>
  <c r="N48" i="8"/>
  <c r="N21" i="13" s="1"/>
  <c r="M56" i="3"/>
  <c r="L56" i="3"/>
  <c r="L10" i="3"/>
  <c r="M10" i="3"/>
  <c r="L23" i="8"/>
  <c r="K23" i="8"/>
  <c r="J23" i="8" s="1"/>
  <c r="M49" i="8"/>
  <c r="M16" i="13" s="1"/>
  <c r="N34" i="8"/>
  <c r="O34" i="8" s="1"/>
  <c r="P34" i="8" s="1"/>
  <c r="Q34" i="8" s="1"/>
  <c r="N47" i="8"/>
  <c r="R10" i="8" l="1"/>
  <c r="Q15" i="8"/>
  <c r="Q14" i="8"/>
  <c r="R7" i="8"/>
  <c r="K45" i="8"/>
  <c r="J45" i="8" s="1"/>
  <c r="L45" i="8"/>
  <c r="K20" i="13"/>
  <c r="L20" i="13"/>
  <c r="M23" i="13"/>
  <c r="M25" i="13"/>
  <c r="K19" i="13"/>
  <c r="O48" i="8"/>
  <c r="O21" i="13" s="1"/>
  <c r="M15" i="13"/>
  <c r="M24" i="13" s="1"/>
  <c r="L44" i="8"/>
  <c r="K44" i="8"/>
  <c r="J44" i="8" s="1"/>
  <c r="L64" i="8"/>
  <c r="M9" i="3"/>
  <c r="L9" i="3"/>
  <c r="M58" i="8"/>
  <c r="E298" i="12"/>
  <c r="R34" i="8"/>
  <c r="S34" i="8" s="1"/>
  <c r="T34" i="8" s="1"/>
  <c r="U34" i="8" s="1"/>
  <c r="V34" i="8" s="1"/>
  <c r="M50" i="8"/>
  <c r="N49" i="8"/>
  <c r="N16" i="13" s="1"/>
  <c r="N25" i="13" s="1"/>
  <c r="N26" i="13" s="1"/>
  <c r="O47" i="8"/>
  <c r="P48" i="8"/>
  <c r="P21" i="13" s="1"/>
  <c r="I4" i="4"/>
  <c r="I5" i="4"/>
  <c r="I6" i="4"/>
  <c r="I7" i="4"/>
  <c r="I8" i="4"/>
  <c r="I9" i="4"/>
  <c r="I10" i="4"/>
  <c r="I11" i="4"/>
  <c r="I12" i="4"/>
  <c r="I13" i="4"/>
  <c r="I14" i="4"/>
  <c r="I15" i="4"/>
  <c r="I16" i="4"/>
  <c r="I17" i="4"/>
  <c r="I18" i="4"/>
  <c r="I19" i="4"/>
  <c r="I20" i="4"/>
  <c r="I21" i="4"/>
  <c r="I22" i="4"/>
  <c r="I23" i="4"/>
  <c r="I24" i="4"/>
  <c r="I3" i="4"/>
  <c r="O3" i="4"/>
  <c r="O4" i="4"/>
  <c r="O5" i="4"/>
  <c r="O6" i="4"/>
  <c r="O7" i="4"/>
  <c r="O8" i="4"/>
  <c r="O9" i="4"/>
  <c r="O10" i="4"/>
  <c r="O11" i="4"/>
  <c r="O12" i="4"/>
  <c r="O13" i="4"/>
  <c r="O14" i="4"/>
  <c r="O15" i="4"/>
  <c r="O16" i="4"/>
  <c r="O17" i="4"/>
  <c r="O18" i="4"/>
  <c r="O19" i="4"/>
  <c r="O20" i="4"/>
  <c r="O21" i="4"/>
  <c r="O22" i="4"/>
  <c r="O23" i="4"/>
  <c r="O24" i="4"/>
  <c r="O25" i="4"/>
  <c r="O26" i="4"/>
  <c r="O27" i="4"/>
  <c r="O28" i="4"/>
  <c r="O29" i="4"/>
  <c r="O30" i="4"/>
  <c r="O31" i="4"/>
  <c r="O32" i="4"/>
  <c r="O33" i="4"/>
  <c r="O34" i="4"/>
  <c r="Y4" i="4"/>
  <c r="S10" i="8" l="1"/>
  <c r="R15" i="8"/>
  <c r="R14" i="8"/>
  <c r="S7" i="8"/>
  <c r="K15" i="13"/>
  <c r="L15" i="13"/>
  <c r="L29" i="13"/>
  <c r="K29" i="13" s="1"/>
  <c r="M26" i="13"/>
  <c r="W34" i="8"/>
  <c r="X34" i="8" s="1"/>
  <c r="Y34" i="8" s="1"/>
  <c r="Z34" i="8" s="1"/>
  <c r="AA34" i="8" s="1"/>
  <c r="AB34" i="8" s="1"/>
  <c r="AC34" i="8" s="1"/>
  <c r="AD34" i="8" s="1"/>
  <c r="AE34" i="8" s="1"/>
  <c r="AF34" i="8" s="1"/>
  <c r="Q112" i="10"/>
  <c r="O112" i="10"/>
  <c r="L112" i="10"/>
  <c r="K112" i="10"/>
  <c r="J112" i="10"/>
  <c r="P112" i="10"/>
  <c r="N112" i="10"/>
  <c r="M112" i="10"/>
  <c r="H112" i="10"/>
  <c r="I112" i="10"/>
  <c r="R112" i="10"/>
  <c r="N58" i="8"/>
  <c r="N50" i="8"/>
  <c r="O49" i="8"/>
  <c r="O16" i="13" s="1"/>
  <c r="O25" i="13" s="1"/>
  <c r="O26" i="13" s="1"/>
  <c r="S113" i="10"/>
  <c r="T113" i="10"/>
  <c r="U113" i="10"/>
  <c r="V113" i="10"/>
  <c r="W113" i="10"/>
  <c r="R8" i="10"/>
  <c r="R12" i="10"/>
  <c r="R16" i="10"/>
  <c r="R20" i="10"/>
  <c r="R24" i="10"/>
  <c r="R28" i="10"/>
  <c r="R32" i="10"/>
  <c r="R36" i="10"/>
  <c r="R40" i="10"/>
  <c r="R44" i="10"/>
  <c r="R48" i="10"/>
  <c r="R52" i="10"/>
  <c r="R56" i="10"/>
  <c r="R60" i="10"/>
  <c r="R64" i="10"/>
  <c r="R68" i="10"/>
  <c r="R72" i="10"/>
  <c r="R76" i="10"/>
  <c r="R80" i="10"/>
  <c r="R84" i="10"/>
  <c r="R88" i="10"/>
  <c r="R92" i="10"/>
  <c r="R96" i="10"/>
  <c r="R100" i="10"/>
  <c r="R104" i="10"/>
  <c r="R113" i="10"/>
  <c r="J7" i="10"/>
  <c r="L10" i="10"/>
  <c r="H14" i="10"/>
  <c r="J17" i="10"/>
  <c r="L20" i="10"/>
  <c r="H24" i="10"/>
  <c r="J27" i="10"/>
  <c r="L30" i="10"/>
  <c r="H34" i="10"/>
  <c r="J37" i="10"/>
  <c r="L40" i="10"/>
  <c r="H44" i="10"/>
  <c r="J47" i="10"/>
  <c r="L50" i="10"/>
  <c r="H54" i="10"/>
  <c r="J57" i="10"/>
  <c r="L60" i="10"/>
  <c r="H64" i="10"/>
  <c r="J67" i="10"/>
  <c r="L70" i="10"/>
  <c r="H74" i="10"/>
  <c r="J77" i="10"/>
  <c r="L80" i="10"/>
  <c r="H84" i="10"/>
  <c r="J87" i="10"/>
  <c r="L90" i="10"/>
  <c r="H94" i="10"/>
  <c r="J97" i="10"/>
  <c r="L100" i="10"/>
  <c r="H104" i="10"/>
  <c r="J107" i="10"/>
  <c r="N41" i="10"/>
  <c r="N85" i="10"/>
  <c r="N97" i="10"/>
  <c r="N105" i="10"/>
  <c r="O4" i="10"/>
  <c r="M10" i="10"/>
  <c r="K17" i="10"/>
  <c r="I24" i="10"/>
  <c r="M30" i="10"/>
  <c r="K37" i="10"/>
  <c r="I44" i="10"/>
  <c r="M50" i="10"/>
  <c r="K57" i="10"/>
  <c r="I64" i="10"/>
  <c r="M70" i="10"/>
  <c r="K77" i="10"/>
  <c r="I84" i="10"/>
  <c r="M90" i="10"/>
  <c r="K97" i="10"/>
  <c r="I104" i="10"/>
  <c r="H98" i="10"/>
  <c r="R105" i="10"/>
  <c r="N5" i="10"/>
  <c r="N9" i="10"/>
  <c r="N13" i="10"/>
  <c r="N17" i="10"/>
  <c r="N21" i="10"/>
  <c r="N25" i="10"/>
  <c r="N29" i="10"/>
  <c r="N33" i="10"/>
  <c r="N37" i="10"/>
  <c r="N45" i="10"/>
  <c r="N49" i="10"/>
  <c r="N53" i="10"/>
  <c r="N57" i="10"/>
  <c r="N61" i="10"/>
  <c r="N65" i="10"/>
  <c r="N69" i="10"/>
  <c r="N73" i="10"/>
  <c r="N77" i="10"/>
  <c r="N81" i="10"/>
  <c r="N89" i="10"/>
  <c r="N93" i="10"/>
  <c r="N101" i="10"/>
  <c r="K7" i="10"/>
  <c r="I14" i="10"/>
  <c r="M20" i="10"/>
  <c r="K27" i="10"/>
  <c r="I34" i="10"/>
  <c r="M40" i="10"/>
  <c r="K47" i="10"/>
  <c r="I54" i="10"/>
  <c r="M60" i="10"/>
  <c r="K67" i="10"/>
  <c r="I74" i="10"/>
  <c r="M80" i="10"/>
  <c r="K87" i="10"/>
  <c r="I94" i="10"/>
  <c r="M100" i="10"/>
  <c r="K107" i="10"/>
  <c r="L94" i="10"/>
  <c r="I8" i="10"/>
  <c r="O5" i="10"/>
  <c r="O9" i="10"/>
  <c r="O13" i="10"/>
  <c r="O17" i="10"/>
  <c r="O21" i="10"/>
  <c r="O25" i="10"/>
  <c r="O29" i="10"/>
  <c r="O33" i="10"/>
  <c r="O37" i="10"/>
  <c r="O41" i="10"/>
  <c r="O45" i="10"/>
  <c r="O49" i="10"/>
  <c r="O53" i="10"/>
  <c r="O57" i="10"/>
  <c r="O61" i="10"/>
  <c r="O65" i="10"/>
  <c r="O69" i="10"/>
  <c r="O73" i="10"/>
  <c r="O77" i="10"/>
  <c r="O81" i="10"/>
  <c r="O85" i="10"/>
  <c r="O89" i="10"/>
  <c r="O93" i="10"/>
  <c r="O97" i="10"/>
  <c r="O101" i="10"/>
  <c r="O105" i="10"/>
  <c r="P4" i="10"/>
  <c r="L7" i="10"/>
  <c r="H11" i="10"/>
  <c r="J14" i="10"/>
  <c r="L17" i="10"/>
  <c r="H21" i="10"/>
  <c r="J24" i="10"/>
  <c r="L27" i="10"/>
  <c r="H31" i="10"/>
  <c r="J34" i="10"/>
  <c r="L37" i="10"/>
  <c r="H41" i="10"/>
  <c r="J44" i="10"/>
  <c r="L47" i="10"/>
  <c r="H51" i="10"/>
  <c r="J54" i="10"/>
  <c r="L57" i="10"/>
  <c r="H61" i="10"/>
  <c r="J64" i="10"/>
  <c r="L67" i="10"/>
  <c r="H71" i="10"/>
  <c r="J74" i="10"/>
  <c r="L77" i="10"/>
  <c r="H81" i="10"/>
  <c r="J84" i="10"/>
  <c r="L87" i="10"/>
  <c r="H91" i="10"/>
  <c r="J94" i="10"/>
  <c r="L97" i="10"/>
  <c r="H101" i="10"/>
  <c r="J104" i="10"/>
  <c r="L107" i="10"/>
  <c r="Q9" i="10"/>
  <c r="Q17" i="10"/>
  <c r="Q29" i="10"/>
  <c r="Q37" i="10"/>
  <c r="Q49" i="10"/>
  <c r="Q53" i="10"/>
  <c r="Q65" i="10"/>
  <c r="Q77" i="10"/>
  <c r="Q89" i="10"/>
  <c r="Q97" i="10"/>
  <c r="H8" i="10"/>
  <c r="L14" i="10"/>
  <c r="L24" i="10"/>
  <c r="L34" i="10"/>
  <c r="L44" i="10"/>
  <c r="J51" i="10"/>
  <c r="J61" i="10"/>
  <c r="H68" i="10"/>
  <c r="H78" i="10"/>
  <c r="L84" i="10"/>
  <c r="J101" i="10"/>
  <c r="P5" i="10"/>
  <c r="P9" i="10"/>
  <c r="P13" i="10"/>
  <c r="P17" i="10"/>
  <c r="P21" i="10"/>
  <c r="P25" i="10"/>
  <c r="P29" i="10"/>
  <c r="P33" i="10"/>
  <c r="P37" i="10"/>
  <c r="P41" i="10"/>
  <c r="P45" i="10"/>
  <c r="P49" i="10"/>
  <c r="P53" i="10"/>
  <c r="P57" i="10"/>
  <c r="P61" i="10"/>
  <c r="P65" i="10"/>
  <c r="P69" i="10"/>
  <c r="P73" i="10"/>
  <c r="P77" i="10"/>
  <c r="P81" i="10"/>
  <c r="P85" i="10"/>
  <c r="P89" i="10"/>
  <c r="P93" i="10"/>
  <c r="P97" i="10"/>
  <c r="P101" i="10"/>
  <c r="P105" i="10"/>
  <c r="Q4" i="10"/>
  <c r="M7" i="10"/>
  <c r="I11" i="10"/>
  <c r="K14" i="10"/>
  <c r="M17" i="10"/>
  <c r="I21" i="10"/>
  <c r="K24" i="10"/>
  <c r="M27" i="10"/>
  <c r="I31" i="10"/>
  <c r="K34" i="10"/>
  <c r="M37" i="10"/>
  <c r="I41" i="10"/>
  <c r="K44" i="10"/>
  <c r="M47" i="10"/>
  <c r="I51" i="10"/>
  <c r="K54" i="10"/>
  <c r="M57" i="10"/>
  <c r="I61" i="10"/>
  <c r="K64" i="10"/>
  <c r="M67" i="10"/>
  <c r="I71" i="10"/>
  <c r="K74" i="10"/>
  <c r="M77" i="10"/>
  <c r="I81" i="10"/>
  <c r="K84" i="10"/>
  <c r="M87" i="10"/>
  <c r="I91" i="10"/>
  <c r="K94" i="10"/>
  <c r="M97" i="10"/>
  <c r="I101" i="10"/>
  <c r="K104" i="10"/>
  <c r="M107" i="10"/>
  <c r="Q5" i="10"/>
  <c r="Q25" i="10"/>
  <c r="Q33" i="10"/>
  <c r="Q45" i="10"/>
  <c r="Q61" i="10"/>
  <c r="Q69" i="10"/>
  <c r="Q81" i="10"/>
  <c r="Q93" i="10"/>
  <c r="Q105" i="10"/>
  <c r="J11" i="10"/>
  <c r="J21" i="10"/>
  <c r="H28" i="10"/>
  <c r="H38" i="10"/>
  <c r="H48" i="10"/>
  <c r="H58" i="10"/>
  <c r="J71" i="10"/>
  <c r="J81" i="10"/>
  <c r="J91" i="10"/>
  <c r="L104" i="10"/>
  <c r="N4" i="10"/>
  <c r="Q13" i="10"/>
  <c r="Q21" i="10"/>
  <c r="Q41" i="10"/>
  <c r="Q57" i="10"/>
  <c r="Q73" i="10"/>
  <c r="Q85" i="10"/>
  <c r="Q101" i="10"/>
  <c r="R4" i="10"/>
  <c r="H18" i="10"/>
  <c r="J31" i="10"/>
  <c r="J41" i="10"/>
  <c r="L54" i="10"/>
  <c r="L64" i="10"/>
  <c r="L74" i="10"/>
  <c r="H88" i="10"/>
  <c r="M14" i="10"/>
  <c r="R5" i="10"/>
  <c r="R9" i="10"/>
  <c r="R13" i="10"/>
  <c r="R17" i="10"/>
  <c r="R21" i="10"/>
  <c r="R25" i="10"/>
  <c r="R29" i="10"/>
  <c r="R33" i="10"/>
  <c r="R37" i="10"/>
  <c r="R41" i="10"/>
  <c r="R45" i="10"/>
  <c r="R49" i="10"/>
  <c r="R53" i="10"/>
  <c r="R57" i="10"/>
  <c r="R61" i="10"/>
  <c r="R65" i="10"/>
  <c r="R69" i="10"/>
  <c r="R73" i="10"/>
  <c r="R77" i="10"/>
  <c r="R81" i="10"/>
  <c r="R85" i="10"/>
  <c r="R89" i="10"/>
  <c r="R93" i="10"/>
  <c r="R97" i="10"/>
  <c r="R101" i="10"/>
  <c r="K11" i="10"/>
  <c r="I18" i="10"/>
  <c r="K21" i="10"/>
  <c r="M24" i="10"/>
  <c r="I28" i="10"/>
  <c r="K31" i="10"/>
  <c r="N6" i="10"/>
  <c r="N10" i="10"/>
  <c r="N14" i="10"/>
  <c r="N18" i="10"/>
  <c r="N22" i="10"/>
  <c r="N26" i="10"/>
  <c r="N30" i="10"/>
  <c r="N34" i="10"/>
  <c r="N38" i="10"/>
  <c r="N42" i="10"/>
  <c r="N46" i="10"/>
  <c r="N50" i="10"/>
  <c r="N54" i="10"/>
  <c r="N58" i="10"/>
  <c r="N62" i="10"/>
  <c r="N66" i="10"/>
  <c r="N70" i="10"/>
  <c r="N74" i="10"/>
  <c r="N78" i="10"/>
  <c r="N82" i="10"/>
  <c r="N86" i="10"/>
  <c r="N90" i="10"/>
  <c r="N94" i="10"/>
  <c r="N98" i="10"/>
  <c r="N102" i="10"/>
  <c r="N106" i="10"/>
  <c r="H5" i="10"/>
  <c r="J8" i="10"/>
  <c r="L11" i="10"/>
  <c r="H15" i="10"/>
  <c r="J18" i="10"/>
  <c r="L21" i="10"/>
  <c r="H25" i="10"/>
  <c r="J28" i="10"/>
  <c r="L31" i="10"/>
  <c r="H35" i="10"/>
  <c r="J38" i="10"/>
  <c r="L41" i="10"/>
  <c r="H45" i="10"/>
  <c r="J48" i="10"/>
  <c r="L51" i="10"/>
  <c r="H55" i="10"/>
  <c r="J58" i="10"/>
  <c r="L61" i="10"/>
  <c r="H65" i="10"/>
  <c r="J68" i="10"/>
  <c r="L71" i="10"/>
  <c r="H75" i="10"/>
  <c r="J78" i="10"/>
  <c r="R6" i="10"/>
  <c r="R10" i="10"/>
  <c r="R14" i="10"/>
  <c r="R18" i="10"/>
  <c r="R22" i="10"/>
  <c r="R26" i="10"/>
  <c r="R30" i="10"/>
  <c r="R34" i="10"/>
  <c r="R38" i="10"/>
  <c r="R42" i="10"/>
  <c r="R46" i="10"/>
  <c r="R50" i="10"/>
  <c r="R54" i="10"/>
  <c r="R58" i="10"/>
  <c r="R62" i="10"/>
  <c r="R66" i="10"/>
  <c r="R70" i="10"/>
  <c r="R74" i="10"/>
  <c r="R78" i="10"/>
  <c r="R82" i="10"/>
  <c r="R86" i="10"/>
  <c r="R90" i="10"/>
  <c r="R94" i="10"/>
  <c r="R98" i="10"/>
  <c r="R102" i="10"/>
  <c r="R106" i="10"/>
  <c r="L5" i="10"/>
  <c r="H9" i="10"/>
  <c r="J12" i="10"/>
  <c r="L15" i="10"/>
  <c r="H19" i="10"/>
  <c r="J22" i="10"/>
  <c r="L25" i="10"/>
  <c r="H29" i="10"/>
  <c r="J32" i="10"/>
  <c r="L35" i="10"/>
  <c r="H39" i="10"/>
  <c r="J42" i="10"/>
  <c r="L45" i="10"/>
  <c r="H49" i="10"/>
  <c r="J52" i="10"/>
  <c r="L55" i="10"/>
  <c r="H59" i="10"/>
  <c r="J62" i="10"/>
  <c r="L65" i="10"/>
  <c r="H69" i="10"/>
  <c r="J72" i="10"/>
  <c r="L75" i="10"/>
  <c r="H79" i="10"/>
  <c r="J82" i="10"/>
  <c r="L85" i="10"/>
  <c r="H89" i="10"/>
  <c r="J92" i="10"/>
  <c r="L95" i="10"/>
  <c r="H99" i="10"/>
  <c r="J102" i="10"/>
  <c r="L105" i="10"/>
  <c r="J113" i="10"/>
  <c r="P11" i="10"/>
  <c r="P23" i="10"/>
  <c r="P35" i="10"/>
  <c r="P43" i="10"/>
  <c r="P55" i="10"/>
  <c r="P67" i="10"/>
  <c r="P79" i="10"/>
  <c r="P91" i="10"/>
  <c r="P103" i="10"/>
  <c r="M12" i="10"/>
  <c r="M22" i="10"/>
  <c r="M32" i="10"/>
  <c r="M42" i="10"/>
  <c r="M52" i="10"/>
  <c r="K59" i="10"/>
  <c r="K69" i="10"/>
  <c r="K79" i="10"/>
  <c r="K89" i="10"/>
  <c r="K99" i="10"/>
  <c r="M113" i="10"/>
  <c r="N7" i="10"/>
  <c r="N11" i="10"/>
  <c r="N15" i="10"/>
  <c r="N19" i="10"/>
  <c r="N23" i="10"/>
  <c r="N27" i="10"/>
  <c r="N31" i="10"/>
  <c r="N35" i="10"/>
  <c r="N39" i="10"/>
  <c r="N43" i="10"/>
  <c r="N47" i="10"/>
  <c r="N51" i="10"/>
  <c r="N55" i="10"/>
  <c r="N59" i="10"/>
  <c r="N63" i="10"/>
  <c r="N67" i="10"/>
  <c r="N71" i="10"/>
  <c r="N75" i="10"/>
  <c r="N79" i="10"/>
  <c r="N83" i="10"/>
  <c r="N87" i="10"/>
  <c r="N91" i="10"/>
  <c r="N95" i="10"/>
  <c r="N99" i="10"/>
  <c r="N103" i="10"/>
  <c r="N107" i="10"/>
  <c r="M5" i="10"/>
  <c r="I9" i="10"/>
  <c r="K12" i="10"/>
  <c r="M15" i="10"/>
  <c r="I19" i="10"/>
  <c r="K22" i="10"/>
  <c r="M25" i="10"/>
  <c r="I29" i="10"/>
  <c r="K32" i="10"/>
  <c r="M35" i="10"/>
  <c r="I39" i="10"/>
  <c r="K42" i="10"/>
  <c r="M45" i="10"/>
  <c r="I49" i="10"/>
  <c r="K52" i="10"/>
  <c r="M55" i="10"/>
  <c r="I59" i="10"/>
  <c r="K62" i="10"/>
  <c r="M65" i="10"/>
  <c r="I69" i="10"/>
  <c r="K72" i="10"/>
  <c r="M75" i="10"/>
  <c r="I79" i="10"/>
  <c r="K82" i="10"/>
  <c r="M85" i="10"/>
  <c r="I89" i="10"/>
  <c r="K92" i="10"/>
  <c r="M95" i="10"/>
  <c r="I99" i="10"/>
  <c r="K102" i="10"/>
  <c r="M105" i="10"/>
  <c r="K113" i="10"/>
  <c r="H106" i="10"/>
  <c r="L113" i="10"/>
  <c r="P15" i="10"/>
  <c r="P19" i="10"/>
  <c r="P31" i="10"/>
  <c r="P39" i="10"/>
  <c r="P51" i="10"/>
  <c r="P63" i="10"/>
  <c r="P71" i="10"/>
  <c r="P83" i="10"/>
  <c r="P95" i="10"/>
  <c r="P107" i="10"/>
  <c r="K9" i="10"/>
  <c r="K19" i="10"/>
  <c r="K29" i="10"/>
  <c r="K39" i="10"/>
  <c r="I46" i="10"/>
  <c r="I56" i="10"/>
  <c r="I66" i="10"/>
  <c r="I76" i="10"/>
  <c r="I86" i="10"/>
  <c r="I96" i="10"/>
  <c r="I106" i="10"/>
  <c r="O7" i="10"/>
  <c r="O11" i="10"/>
  <c r="O15" i="10"/>
  <c r="O19" i="10"/>
  <c r="O23" i="10"/>
  <c r="O27" i="10"/>
  <c r="O31" i="10"/>
  <c r="O35" i="10"/>
  <c r="O39" i="10"/>
  <c r="O43" i="10"/>
  <c r="O47" i="10"/>
  <c r="O51" i="10"/>
  <c r="O55" i="10"/>
  <c r="O59" i="10"/>
  <c r="O63" i="10"/>
  <c r="O67" i="10"/>
  <c r="O71" i="10"/>
  <c r="O75" i="10"/>
  <c r="O79" i="10"/>
  <c r="O83" i="10"/>
  <c r="O87" i="10"/>
  <c r="O91" i="10"/>
  <c r="O95" i="10"/>
  <c r="O99" i="10"/>
  <c r="O103" i="10"/>
  <c r="O107" i="10"/>
  <c r="H6" i="10"/>
  <c r="J9" i="10"/>
  <c r="L12" i="10"/>
  <c r="H16" i="10"/>
  <c r="J19" i="10"/>
  <c r="L22" i="10"/>
  <c r="H26" i="10"/>
  <c r="J29" i="10"/>
  <c r="L32" i="10"/>
  <c r="H36" i="10"/>
  <c r="J39" i="10"/>
  <c r="L42" i="10"/>
  <c r="H46" i="10"/>
  <c r="J49" i="10"/>
  <c r="L52" i="10"/>
  <c r="H56" i="10"/>
  <c r="J59" i="10"/>
  <c r="L62" i="10"/>
  <c r="H66" i="10"/>
  <c r="J69" i="10"/>
  <c r="L72" i="10"/>
  <c r="H76" i="10"/>
  <c r="J79" i="10"/>
  <c r="L82" i="10"/>
  <c r="H86" i="10"/>
  <c r="J89" i="10"/>
  <c r="L92" i="10"/>
  <c r="H96" i="10"/>
  <c r="J99" i="10"/>
  <c r="L102" i="10"/>
  <c r="P7" i="10"/>
  <c r="P27" i="10"/>
  <c r="P47" i="10"/>
  <c r="P59" i="10"/>
  <c r="P75" i="10"/>
  <c r="P87" i="10"/>
  <c r="P99" i="10"/>
  <c r="I6" i="10"/>
  <c r="I16" i="10"/>
  <c r="I26" i="10"/>
  <c r="I36" i="10"/>
  <c r="K49" i="10"/>
  <c r="M62" i="10"/>
  <c r="M72" i="10"/>
  <c r="M82" i="10"/>
  <c r="M92" i="10"/>
  <c r="M102" i="10"/>
  <c r="R7" i="10"/>
  <c r="R11" i="10"/>
  <c r="R15" i="10"/>
  <c r="R19" i="10"/>
  <c r="R23" i="10"/>
  <c r="R27" i="10"/>
  <c r="R31" i="10"/>
  <c r="R35" i="10"/>
  <c r="R39" i="10"/>
  <c r="R43" i="10"/>
  <c r="R47" i="10"/>
  <c r="R51" i="10"/>
  <c r="R55" i="10"/>
  <c r="R59" i="10"/>
  <c r="R63" i="10"/>
  <c r="R67" i="10"/>
  <c r="R71" i="10"/>
  <c r="R75" i="10"/>
  <c r="R79" i="10"/>
  <c r="R83" i="10"/>
  <c r="R87" i="10"/>
  <c r="R91" i="10"/>
  <c r="R95" i="10"/>
  <c r="R99" i="10"/>
  <c r="R103" i="10"/>
  <c r="R107" i="10"/>
  <c r="K6" i="10"/>
  <c r="M9" i="10"/>
  <c r="I13" i="10"/>
  <c r="K16" i="10"/>
  <c r="M19" i="10"/>
  <c r="I23" i="10"/>
  <c r="K26" i="10"/>
  <c r="M29" i="10"/>
  <c r="I33" i="10"/>
  <c r="K36" i="10"/>
  <c r="M39" i="10"/>
  <c r="I43" i="10"/>
  <c r="K46" i="10"/>
  <c r="M49" i="10"/>
  <c r="I53" i="10"/>
  <c r="K56" i="10"/>
  <c r="M59" i="10"/>
  <c r="I63" i="10"/>
  <c r="K66" i="10"/>
  <c r="M69" i="10"/>
  <c r="I73" i="10"/>
  <c r="K76" i="10"/>
  <c r="M79" i="10"/>
  <c r="I83" i="10"/>
  <c r="K86" i="10"/>
  <c r="M89" i="10"/>
  <c r="I93" i="10"/>
  <c r="K96" i="10"/>
  <c r="M99" i="10"/>
  <c r="I103" i="10"/>
  <c r="K106" i="10"/>
  <c r="L4" i="10"/>
  <c r="N8" i="10"/>
  <c r="N12" i="10"/>
  <c r="N16" i="10"/>
  <c r="N20" i="10"/>
  <c r="N24" i="10"/>
  <c r="N28" i="10"/>
  <c r="N32" i="10"/>
  <c r="N36" i="10"/>
  <c r="N40" i="10"/>
  <c r="N44" i="10"/>
  <c r="N48" i="10"/>
  <c r="N52" i="10"/>
  <c r="N56" i="10"/>
  <c r="N60" i="10"/>
  <c r="N64" i="10"/>
  <c r="N68" i="10"/>
  <c r="N72" i="10"/>
  <c r="N76" i="10"/>
  <c r="N80" i="10"/>
  <c r="N84" i="10"/>
  <c r="N88" i="10"/>
  <c r="N92" i="10"/>
  <c r="N96" i="10"/>
  <c r="N100" i="10"/>
  <c r="N104" i="10"/>
  <c r="O6" i="10"/>
  <c r="Q16" i="10"/>
  <c r="P28" i="10"/>
  <c r="O40" i="10"/>
  <c r="Q51" i="10"/>
  <c r="Q62" i="10"/>
  <c r="P74" i="10"/>
  <c r="O86" i="10"/>
  <c r="Q96" i="10"/>
  <c r="L8" i="10"/>
  <c r="M16" i="10"/>
  <c r="J25" i="10"/>
  <c r="K33" i="10"/>
  <c r="K40" i="10"/>
  <c r="K48" i="10"/>
  <c r="K55" i="10"/>
  <c r="J63" i="10"/>
  <c r="J70" i="10"/>
  <c r="I78" i="10"/>
  <c r="H85" i="10"/>
  <c r="L91" i="10"/>
  <c r="J98" i="10"/>
  <c r="H105" i="10"/>
  <c r="P6" i="10"/>
  <c r="O18" i="10"/>
  <c r="Q28" i="10"/>
  <c r="P40" i="10"/>
  <c r="O52" i="10"/>
  <c r="Q63" i="10"/>
  <c r="Q74" i="10"/>
  <c r="P86" i="10"/>
  <c r="O98" i="10"/>
  <c r="H17" i="10"/>
  <c r="K25" i="10"/>
  <c r="L33" i="10"/>
  <c r="K41" i="10"/>
  <c r="L48" i="10"/>
  <c r="J56" i="10"/>
  <c r="K63" i="10"/>
  <c r="K70" i="10"/>
  <c r="K78" i="10"/>
  <c r="M91" i="10"/>
  <c r="K98" i="10"/>
  <c r="I105" i="10"/>
  <c r="O64" i="10"/>
  <c r="L9" i="10"/>
  <c r="M33" i="10"/>
  <c r="L56" i="10"/>
  <c r="L78" i="10"/>
  <c r="L98" i="10"/>
  <c r="J93" i="10"/>
  <c r="J50" i="10"/>
  <c r="M86" i="10"/>
  <c r="P32" i="10"/>
  <c r="M11" i="10"/>
  <c r="K65" i="10"/>
  <c r="I4" i="10"/>
  <c r="Q78" i="10"/>
  <c r="H12" i="10"/>
  <c r="L58" i="10"/>
  <c r="I107" i="10"/>
  <c r="O34" i="10"/>
  <c r="I12" i="10"/>
  <c r="L73" i="10"/>
  <c r="M8" i="10"/>
  <c r="I85" i="10"/>
  <c r="Q86" i="10"/>
  <c r="I17" i="10"/>
  <c r="M41" i="10"/>
  <c r="L63" i="10"/>
  <c r="J85" i="10"/>
  <c r="J105" i="10"/>
  <c r="L106" i="10"/>
  <c r="K35" i="10"/>
  <c r="K93" i="10"/>
  <c r="Q55" i="10"/>
  <c r="N113" i="10"/>
  <c r="K58" i="10"/>
  <c r="H107" i="10"/>
  <c r="Q32" i="10"/>
  <c r="L28" i="10"/>
  <c r="I87" i="10"/>
  <c r="P56" i="10"/>
  <c r="P102" i="10"/>
  <c r="M51" i="10"/>
  <c r="I88" i="10"/>
  <c r="Q6" i="10"/>
  <c r="P18" i="10"/>
  <c r="O30" i="10"/>
  <c r="Q40" i="10"/>
  <c r="P52" i="10"/>
  <c r="Q75" i="10"/>
  <c r="P98" i="10"/>
  <c r="J26" i="10"/>
  <c r="M48" i="10"/>
  <c r="K71" i="10"/>
  <c r="H92" i="10"/>
  <c r="H113" i="10"/>
  <c r="I27" i="10"/>
  <c r="M106" i="10"/>
  <c r="Q66" i="10"/>
  <c r="Q100" i="10"/>
  <c r="K50" i="10"/>
  <c r="L93" i="10"/>
  <c r="O22" i="10"/>
  <c r="L36" i="10"/>
  <c r="K80" i="10"/>
  <c r="Q10" i="10"/>
  <c r="M43" i="10"/>
  <c r="I70" i="10"/>
  <c r="Q7" i="10"/>
  <c r="Q18" i="10"/>
  <c r="P30" i="10"/>
  <c r="O42" i="10"/>
  <c r="Q52" i="10"/>
  <c r="P64" i="10"/>
  <c r="O76" i="10"/>
  <c r="Q87" i="10"/>
  <c r="Q98" i="10"/>
  <c r="H10" i="10"/>
  <c r="K18" i="10"/>
  <c r="L26" i="10"/>
  <c r="M34" i="10"/>
  <c r="H42" i="10"/>
  <c r="L49" i="10"/>
  <c r="M56" i="10"/>
  <c r="M63" i="10"/>
  <c r="M71" i="10"/>
  <c r="M78" i="10"/>
  <c r="K85" i="10"/>
  <c r="I92" i="10"/>
  <c r="M98" i="10"/>
  <c r="K105" i="10"/>
  <c r="I113" i="10"/>
  <c r="O8" i="10"/>
  <c r="Q19" i="10"/>
  <c r="Q30" i="10"/>
  <c r="P42" i="10"/>
  <c r="O54" i="10"/>
  <c r="Q64" i="10"/>
  <c r="P76" i="10"/>
  <c r="O88" i="10"/>
  <c r="Q99" i="10"/>
  <c r="I10" i="10"/>
  <c r="L18" i="10"/>
  <c r="I35" i="10"/>
  <c r="I42" i="10"/>
  <c r="H50" i="10"/>
  <c r="H57" i="10"/>
  <c r="M64" i="10"/>
  <c r="H72" i="10"/>
  <c r="L79" i="10"/>
  <c r="J86" i="10"/>
  <c r="H93" i="10"/>
  <c r="L99" i="10"/>
  <c r="J106" i="10"/>
  <c r="Q42" i="10"/>
  <c r="O100" i="10"/>
  <c r="M18" i="10"/>
  <c r="J35" i="10"/>
  <c r="I57" i="10"/>
  <c r="I72" i="10"/>
  <c r="H100" i="10"/>
  <c r="I58" i="10"/>
  <c r="O10" i="10"/>
  <c r="H20" i="10"/>
  <c r="J73" i="10"/>
  <c r="P10" i="10"/>
  <c r="O113" i="10"/>
  <c r="K73" i="10"/>
  <c r="O68" i="10"/>
  <c r="Q90" i="10"/>
  <c r="M28" i="10"/>
  <c r="K81" i="10"/>
  <c r="M84" i="10"/>
  <c r="M26" i="10"/>
  <c r="M4" i="10"/>
  <c r="I50" i="10"/>
  <c r="H80" i="10"/>
  <c r="K4" i="10"/>
  <c r="H73" i="10"/>
  <c r="J4" i="10"/>
  <c r="O44" i="10"/>
  <c r="K28" i="10"/>
  <c r="H87" i="10"/>
  <c r="Q67" i="10"/>
  <c r="O102" i="10"/>
  <c r="K51" i="10"/>
  <c r="K100" i="10"/>
  <c r="P22" i="10"/>
  <c r="M36" i="10"/>
  <c r="K101" i="10"/>
  <c r="P8" i="10"/>
  <c r="O20" i="10"/>
  <c r="Q31" i="10"/>
  <c r="P54" i="10"/>
  <c r="O66" i="10"/>
  <c r="Q76" i="10"/>
  <c r="P88" i="10"/>
  <c r="J10" i="10"/>
  <c r="H27" i="10"/>
  <c r="H43" i="10"/>
  <c r="I65" i="10"/>
  <c r="L86" i="10"/>
  <c r="J65" i="10"/>
  <c r="I100" i="10"/>
  <c r="Q20" i="10"/>
  <c r="K43" i="10"/>
  <c r="J100" i="10"/>
  <c r="O56" i="10"/>
  <c r="P90" i="10"/>
  <c r="L43" i="10"/>
  <c r="M93" i="10"/>
  <c r="Q44" i="10"/>
  <c r="J20" i="10"/>
  <c r="L66" i="10"/>
  <c r="M104" i="10"/>
  <c r="Q8" i="10"/>
  <c r="P20" i="10"/>
  <c r="O32" i="10"/>
  <c r="Q43" i="10"/>
  <c r="Q54" i="10"/>
  <c r="P66" i="10"/>
  <c r="O78" i="10"/>
  <c r="Q88" i="10"/>
  <c r="P100" i="10"/>
  <c r="K10" i="10"/>
  <c r="L19" i="10"/>
  <c r="J43" i="10"/>
  <c r="I80" i="10"/>
  <c r="P78" i="10"/>
  <c r="O90" i="10"/>
  <c r="J36" i="10"/>
  <c r="J80" i="10"/>
  <c r="P44" i="10"/>
  <c r="I20" i="10"/>
  <c r="J66" i="10"/>
  <c r="H4" i="10"/>
  <c r="Q79" i="10"/>
  <c r="P113" i="10"/>
  <c r="M58" i="10"/>
  <c r="M94" i="10"/>
  <c r="I98" i="10"/>
  <c r="Q11" i="10"/>
  <c r="Q22" i="10"/>
  <c r="P34" i="10"/>
  <c r="O46" i="10"/>
  <c r="Q56" i="10"/>
  <c r="P68" i="10"/>
  <c r="O80" i="10"/>
  <c r="Q91" i="10"/>
  <c r="Q102" i="10"/>
  <c r="Q113" i="10"/>
  <c r="H13" i="10"/>
  <c r="K20" i="10"/>
  <c r="L29" i="10"/>
  <c r="H37" i="10"/>
  <c r="M44" i="10"/>
  <c r="H52" i="10"/>
  <c r="L59" i="10"/>
  <c r="M66" i="10"/>
  <c r="M73" i="10"/>
  <c r="L81" i="10"/>
  <c r="J88" i="10"/>
  <c r="H95" i="10"/>
  <c r="L101" i="10"/>
  <c r="Q12" i="10"/>
  <c r="P70" i="10"/>
  <c r="P104" i="10"/>
  <c r="I22" i="10"/>
  <c r="K45" i="10"/>
  <c r="I68" i="10"/>
  <c r="M88" i="10"/>
  <c r="O14" i="10"/>
  <c r="Q70" i="10"/>
  <c r="Q104" i="10"/>
  <c r="H23" i="10"/>
  <c r="J46" i="10"/>
  <c r="K68" i="10"/>
  <c r="H83" i="10"/>
  <c r="H103" i="10"/>
  <c r="Q26" i="10"/>
  <c r="O84" i="10"/>
  <c r="K15" i="10"/>
  <c r="H47" i="10"/>
  <c r="M76" i="10"/>
  <c r="L103" i="10"/>
  <c r="P50" i="10"/>
  <c r="O96" i="10"/>
  <c r="M23" i="10"/>
  <c r="I55" i="10"/>
  <c r="M83" i="10"/>
  <c r="Q39" i="10"/>
  <c r="P96" i="10"/>
  <c r="I25" i="10"/>
  <c r="H63" i="10"/>
  <c r="O12" i="10"/>
  <c r="Q23" i="10"/>
  <c r="Q34" i="10"/>
  <c r="P46" i="10"/>
  <c r="O58" i="10"/>
  <c r="Q68" i="10"/>
  <c r="P80" i="10"/>
  <c r="O92" i="10"/>
  <c r="Q103" i="10"/>
  <c r="I5" i="10"/>
  <c r="J13" i="10"/>
  <c r="M21" i="10"/>
  <c r="H30" i="10"/>
  <c r="I37" i="10"/>
  <c r="I45" i="10"/>
  <c r="I52" i="10"/>
  <c r="H60" i="10"/>
  <c r="H67" i="10"/>
  <c r="M74" i="10"/>
  <c r="M81" i="10"/>
  <c r="K88" i="10"/>
  <c r="I95" i="10"/>
  <c r="M101" i="10"/>
  <c r="P24" i="10"/>
  <c r="Q58" i="10"/>
  <c r="Q92" i="10"/>
  <c r="L13" i="10"/>
  <c r="K38" i="10"/>
  <c r="J60" i="10"/>
  <c r="I82" i="10"/>
  <c r="I102" i="10"/>
  <c r="P36" i="10"/>
  <c r="O48" i="10"/>
  <c r="P82" i="10"/>
  <c r="J6" i="10"/>
  <c r="K30" i="10"/>
  <c r="K53" i="10"/>
  <c r="K75" i="10"/>
  <c r="J96" i="10"/>
  <c r="Q15" i="10"/>
  <c r="Q60" i="10"/>
  <c r="H7" i="10"/>
  <c r="H40" i="10"/>
  <c r="L69" i="10"/>
  <c r="O16" i="10"/>
  <c r="P84" i="10"/>
  <c r="J16" i="10"/>
  <c r="I47" i="10"/>
  <c r="H77" i="10"/>
  <c r="M103" i="10"/>
  <c r="Q50" i="10"/>
  <c r="J33" i="10"/>
  <c r="J55" i="10"/>
  <c r="P12" i="10"/>
  <c r="O24" i="10"/>
  <c r="Q35" i="10"/>
  <c r="Q46" i="10"/>
  <c r="P58" i="10"/>
  <c r="O70" i="10"/>
  <c r="Q80" i="10"/>
  <c r="P92" i="10"/>
  <c r="O104" i="10"/>
  <c r="J5" i="10"/>
  <c r="K13" i="10"/>
  <c r="H22" i="10"/>
  <c r="I30" i="10"/>
  <c r="I38" i="10"/>
  <c r="J45" i="10"/>
  <c r="H53" i="10"/>
  <c r="I60" i="10"/>
  <c r="I67" i="10"/>
  <c r="I75" i="10"/>
  <c r="H82" i="10"/>
  <c r="L88" i="10"/>
  <c r="J95" i="10"/>
  <c r="H102" i="10"/>
  <c r="O36" i="10"/>
  <c r="Q47" i="10"/>
  <c r="O82" i="10"/>
  <c r="K5" i="10"/>
  <c r="J30" i="10"/>
  <c r="J53" i="10"/>
  <c r="J75" i="10"/>
  <c r="K95" i="10"/>
  <c r="Q24" i="10"/>
  <c r="Q59" i="10"/>
  <c r="O94" i="10"/>
  <c r="M13" i="10"/>
  <c r="L38" i="10"/>
  <c r="K60" i="10"/>
  <c r="L89" i="10"/>
  <c r="O50" i="10"/>
  <c r="P72" i="10"/>
  <c r="Q106" i="10"/>
  <c r="I32" i="10"/>
  <c r="H62" i="10"/>
  <c r="J90" i="10"/>
  <c r="Q38" i="10"/>
  <c r="O62" i="10"/>
  <c r="Q107" i="10"/>
  <c r="H33" i="10"/>
  <c r="I62" i="10"/>
  <c r="K90" i="10"/>
  <c r="P16" i="10"/>
  <c r="O74" i="10"/>
  <c r="K8" i="10"/>
  <c r="J40" i="10"/>
  <c r="I77" i="10"/>
  <c r="P14" i="10"/>
  <c r="O26" i="10"/>
  <c r="Q36" i="10"/>
  <c r="P48" i="10"/>
  <c r="O60" i="10"/>
  <c r="Q71" i="10"/>
  <c r="Q82" i="10"/>
  <c r="P94" i="10"/>
  <c r="O106" i="10"/>
  <c r="L6" i="10"/>
  <c r="I15" i="10"/>
  <c r="J23" i="10"/>
  <c r="M31" i="10"/>
  <c r="M38" i="10"/>
  <c r="L46" i="10"/>
  <c r="L53" i="10"/>
  <c r="K61" i="10"/>
  <c r="L68" i="10"/>
  <c r="J76" i="10"/>
  <c r="J83" i="10"/>
  <c r="H90" i="10"/>
  <c r="L96" i="10"/>
  <c r="J103" i="10"/>
  <c r="Q14" i="10"/>
  <c r="P26" i="10"/>
  <c r="O38" i="10"/>
  <c r="Q48" i="10"/>
  <c r="P60" i="10"/>
  <c r="O72" i="10"/>
  <c r="Q83" i="10"/>
  <c r="Q94" i="10"/>
  <c r="P106" i="10"/>
  <c r="M6" i="10"/>
  <c r="J15" i="10"/>
  <c r="K23" i="10"/>
  <c r="H32" i="10"/>
  <c r="L39" i="10"/>
  <c r="M46" i="10"/>
  <c r="M53" i="10"/>
  <c r="M61" i="10"/>
  <c r="M68" i="10"/>
  <c r="L76" i="10"/>
  <c r="K83" i="10"/>
  <c r="I90" i="10"/>
  <c r="M96" i="10"/>
  <c r="K103" i="10"/>
  <c r="P38" i="10"/>
  <c r="Q95" i="10"/>
  <c r="L23" i="10"/>
  <c r="M54" i="10"/>
  <c r="L83" i="10"/>
  <c r="H97" i="10"/>
  <c r="Q27" i="10"/>
  <c r="Q72" i="10"/>
  <c r="I7" i="10"/>
  <c r="I40" i="10"/>
  <c r="H70" i="10"/>
  <c r="I97" i="10"/>
  <c r="O28" i="10"/>
  <c r="P62" i="10"/>
  <c r="Q84" i="10"/>
  <c r="L16" i="10"/>
  <c r="I48" i="10"/>
  <c r="K91" i="10"/>
  <c r="P47" i="8"/>
  <c r="Y5" i="4"/>
  <c r="Y113" i="10" s="1"/>
  <c r="Y6" i="4"/>
  <c r="Y7" i="4"/>
  <c r="Y8" i="4"/>
  <c r="Y9" i="4"/>
  <c r="Y10" i="4"/>
  <c r="Y11" i="4"/>
  <c r="Y12" i="4"/>
  <c r="Y13" i="4"/>
  <c r="Y14" i="4"/>
  <c r="Y15" i="4"/>
  <c r="Y16" i="4"/>
  <c r="Y17" i="4"/>
  <c r="Y18" i="4"/>
  <c r="Y19" i="4"/>
  <c r="Y20" i="4"/>
  <c r="Y21" i="4"/>
  <c r="Y22" i="4"/>
  <c r="Y23" i="4"/>
  <c r="Y24" i="4"/>
  <c r="Y25" i="4"/>
  <c r="Y26" i="4"/>
  <c r="Y27" i="4"/>
  <c r="Y28" i="4"/>
  <c r="Y29" i="4"/>
  <c r="Y30" i="4"/>
  <c r="Y31" i="4"/>
  <c r="Y32" i="4"/>
  <c r="Y33" i="4"/>
  <c r="Y34" i="4"/>
  <c r="Y35" i="4"/>
  <c r="T10" i="8" l="1"/>
  <c r="S15" i="8"/>
  <c r="S14" i="8"/>
  <c r="T7" i="8"/>
  <c r="AG34" i="8"/>
  <c r="AH34" i="8" s="1"/>
  <c r="AI34" i="8" s="1"/>
  <c r="AJ34" i="8" s="1"/>
  <c r="AK34" i="8" s="1"/>
  <c r="AL34" i="8" s="1"/>
  <c r="AM34" i="8" s="1"/>
  <c r="AN34" i="8" s="1"/>
  <c r="AO34" i="8" s="1"/>
  <c r="AP34" i="8" s="1"/>
  <c r="AQ34" i="8" s="1"/>
  <c r="AR34" i="8" s="1"/>
  <c r="AS34" i="8" s="1"/>
  <c r="AT34" i="8" s="1"/>
  <c r="AU34" i="8" s="1"/>
  <c r="AV34" i="8" s="1"/>
  <c r="AW34" i="8" s="1"/>
  <c r="AX34" i="8" s="1"/>
  <c r="AY34" i="8" s="1"/>
  <c r="AZ34" i="8" s="1"/>
  <c r="Q48" i="8"/>
  <c r="Q21" i="13" s="1"/>
  <c r="T112" i="10"/>
  <c r="U112" i="10"/>
  <c r="V112" i="10"/>
  <c r="X112" i="10"/>
  <c r="AB112" i="10"/>
  <c r="W112" i="10"/>
  <c r="Y112" i="10"/>
  <c r="Z112" i="10"/>
  <c r="AA112" i="10"/>
  <c r="S112" i="10"/>
  <c r="V16" i="10"/>
  <c r="AB34" i="10"/>
  <c r="S6" i="10"/>
  <c r="S102" i="10"/>
  <c r="O58" i="8"/>
  <c r="O50" i="8"/>
  <c r="P49" i="8"/>
  <c r="P16" i="13" s="1"/>
  <c r="P25" i="13" s="1"/>
  <c r="P26" i="13" s="1"/>
  <c r="W95" i="10"/>
  <c r="Z103" i="10"/>
  <c r="X57" i="10"/>
  <c r="T27" i="10"/>
  <c r="X86" i="10"/>
  <c r="X6" i="10"/>
  <c r="V102" i="10"/>
  <c r="S44" i="10"/>
  <c r="S71" i="10"/>
  <c r="S45" i="10"/>
  <c r="AB111" i="10"/>
  <c r="W21" i="10"/>
  <c r="AB54" i="10"/>
  <c r="Z90" i="10"/>
  <c r="W102" i="10"/>
  <c r="S95" i="10"/>
  <c r="W13" i="10"/>
  <c r="W9" i="10"/>
  <c r="AA31" i="10"/>
  <c r="AB15" i="10"/>
  <c r="Z101" i="10"/>
  <c r="Z61" i="10"/>
  <c r="Z21" i="10"/>
  <c r="AA111" i="10"/>
  <c r="Y97" i="10"/>
  <c r="Y57" i="10"/>
  <c r="Y17" i="10"/>
  <c r="AA97" i="10"/>
  <c r="X95" i="10"/>
  <c r="X55" i="10"/>
  <c r="X15" i="10"/>
  <c r="V49" i="10"/>
  <c r="U95" i="10"/>
  <c r="U55" i="10"/>
  <c r="U15" i="10"/>
  <c r="V61" i="10"/>
  <c r="T105" i="10"/>
  <c r="T65" i="10"/>
  <c r="T25" i="10"/>
  <c r="AB30" i="10"/>
  <c r="AA68" i="10"/>
  <c r="AA28" i="10"/>
  <c r="Z60" i="10"/>
  <c r="Z20" i="10"/>
  <c r="Y68" i="10"/>
  <c r="Y108" i="10"/>
  <c r="Y32" i="10"/>
  <c r="X84" i="10"/>
  <c r="X44" i="10"/>
  <c r="W84" i="10"/>
  <c r="W34" i="10"/>
  <c r="V98" i="10"/>
  <c r="V22" i="10"/>
  <c r="V56" i="10"/>
  <c r="U98" i="10"/>
  <c r="U58" i="10"/>
  <c r="U18" i="10"/>
  <c r="T68" i="10"/>
  <c r="T108" i="10"/>
  <c r="T24" i="10"/>
  <c r="S82" i="10"/>
  <c r="S42" i="10"/>
  <c r="Z92" i="10"/>
  <c r="W35" i="10"/>
  <c r="Y59" i="10"/>
  <c r="V65" i="10"/>
  <c r="AA70" i="10"/>
  <c r="V62" i="10"/>
  <c r="AB44" i="10"/>
  <c r="AA84" i="10"/>
  <c r="AB110" i="10"/>
  <c r="S101" i="10"/>
  <c r="S41" i="10"/>
  <c r="AB80" i="10"/>
  <c r="Z96" i="10"/>
  <c r="Z88" i="10"/>
  <c r="W111" i="10"/>
  <c r="AB85" i="10"/>
  <c r="AA27" i="10"/>
  <c r="AB9" i="10"/>
  <c r="Z99" i="10"/>
  <c r="Z59" i="10"/>
  <c r="Z19" i="10"/>
  <c r="AA105" i="10"/>
  <c r="Y95" i="10"/>
  <c r="Y55" i="10"/>
  <c r="Y15" i="10"/>
  <c r="AA91" i="10"/>
  <c r="X93" i="10"/>
  <c r="X53" i="10"/>
  <c r="X13" i="10"/>
  <c r="V45" i="10"/>
  <c r="U93" i="10"/>
  <c r="U53" i="10"/>
  <c r="U13" i="10"/>
  <c r="V57" i="10"/>
  <c r="T103" i="10"/>
  <c r="T63" i="10"/>
  <c r="T23" i="10"/>
  <c r="AB28" i="10"/>
  <c r="AA66" i="10"/>
  <c r="AA26" i="10"/>
  <c r="Z58" i="10"/>
  <c r="Z18" i="10"/>
  <c r="Y64" i="10"/>
  <c r="Y104" i="10"/>
  <c r="Y28" i="10"/>
  <c r="X82" i="10"/>
  <c r="X42" i="10"/>
  <c r="W80" i="10"/>
  <c r="W32" i="10"/>
  <c r="V94" i="10"/>
  <c r="V18" i="10"/>
  <c r="V52" i="10"/>
  <c r="U96" i="10"/>
  <c r="U56" i="10"/>
  <c r="U16" i="10"/>
  <c r="T66" i="10"/>
  <c r="T104" i="10"/>
  <c r="T20" i="10"/>
  <c r="S80" i="10"/>
  <c r="S40" i="10"/>
  <c r="AB100" i="10"/>
  <c r="Y19" i="10"/>
  <c r="S5" i="10"/>
  <c r="S84" i="10"/>
  <c r="AB103" i="10"/>
  <c r="W57" i="10"/>
  <c r="W73" i="10"/>
  <c r="AA88" i="10"/>
  <c r="W25" i="10"/>
  <c r="S67" i="10"/>
  <c r="W89" i="10"/>
  <c r="S77" i="10"/>
  <c r="AB105" i="10"/>
  <c r="AB71" i="10"/>
  <c r="AA25" i="10"/>
  <c r="T4" i="10"/>
  <c r="Z97" i="10"/>
  <c r="Z57" i="10"/>
  <c r="Z17" i="10"/>
  <c r="AA95" i="10"/>
  <c r="Y93" i="10"/>
  <c r="Y53" i="10"/>
  <c r="Y13" i="10"/>
  <c r="AA83" i="10"/>
  <c r="X91" i="10"/>
  <c r="X51" i="10"/>
  <c r="X11" i="10"/>
  <c r="V41" i="10"/>
  <c r="U91" i="10"/>
  <c r="U51" i="10"/>
  <c r="U11" i="10"/>
  <c r="V55" i="10"/>
  <c r="T101" i="10"/>
  <c r="T61" i="10"/>
  <c r="T21" i="10"/>
  <c r="AB26" i="10"/>
  <c r="AA64" i="10"/>
  <c r="AA24" i="10"/>
  <c r="Z56" i="10"/>
  <c r="Z16" i="10"/>
  <c r="Y60" i="10"/>
  <c r="Y100" i="10"/>
  <c r="Y24" i="10"/>
  <c r="X80" i="10"/>
  <c r="X40" i="10"/>
  <c r="W74" i="10"/>
  <c r="W30" i="10"/>
  <c r="V90" i="10"/>
  <c r="V14" i="10"/>
  <c r="V48" i="10"/>
  <c r="U94" i="10"/>
  <c r="U54" i="10"/>
  <c r="U14" i="10"/>
  <c r="T62" i="10"/>
  <c r="T98" i="10"/>
  <c r="T16" i="10"/>
  <c r="S78" i="10"/>
  <c r="S38" i="10"/>
  <c r="AA103" i="10"/>
  <c r="T107" i="10"/>
  <c r="Y72" i="10"/>
  <c r="U100" i="10"/>
  <c r="W98" i="10"/>
  <c r="S31" i="10"/>
  <c r="S99" i="10"/>
  <c r="W75" i="10"/>
  <c r="AB52" i="10"/>
  <c r="W53" i="10"/>
  <c r="W79" i="10"/>
  <c r="W63" i="10"/>
  <c r="W100" i="10"/>
  <c r="AB49" i="10"/>
  <c r="AA23" i="10"/>
  <c r="AA107" i="10"/>
  <c r="Z95" i="10"/>
  <c r="Z55" i="10"/>
  <c r="Z15" i="10"/>
  <c r="AA87" i="10"/>
  <c r="Y91" i="10"/>
  <c r="Y51" i="10"/>
  <c r="Y11" i="10"/>
  <c r="AA75" i="10"/>
  <c r="X89" i="10"/>
  <c r="X49" i="10"/>
  <c r="X9" i="10"/>
  <c r="V37" i="10"/>
  <c r="U89" i="10"/>
  <c r="U49" i="10"/>
  <c r="U9" i="10"/>
  <c r="V51" i="10"/>
  <c r="T99" i="10"/>
  <c r="T59" i="10"/>
  <c r="T19" i="10"/>
  <c r="AB24" i="10"/>
  <c r="AA62" i="10"/>
  <c r="AA22" i="10"/>
  <c r="Z54" i="10"/>
  <c r="Z14" i="10"/>
  <c r="Y56" i="10"/>
  <c r="Y96" i="10"/>
  <c r="Y20" i="10"/>
  <c r="X78" i="10"/>
  <c r="X38" i="10"/>
  <c r="W68" i="10"/>
  <c r="W28" i="10"/>
  <c r="V86" i="10"/>
  <c r="V10" i="10"/>
  <c r="V44" i="10"/>
  <c r="U92" i="10"/>
  <c r="U52" i="10"/>
  <c r="U12" i="10"/>
  <c r="T58" i="10"/>
  <c r="T94" i="10"/>
  <c r="T12" i="10"/>
  <c r="S76" i="10"/>
  <c r="S36" i="10"/>
  <c r="W101" i="10"/>
  <c r="Z63" i="10"/>
  <c r="U97" i="10"/>
  <c r="Z62" i="10"/>
  <c r="U20" i="10"/>
  <c r="W92" i="10"/>
  <c r="W109" i="10"/>
  <c r="W5" i="10"/>
  <c r="W93" i="10"/>
  <c r="AB78" i="10"/>
  <c r="AB40" i="10"/>
  <c r="AB66" i="10"/>
  <c r="AB50" i="10"/>
  <c r="Z94" i="10"/>
  <c r="AB13" i="10"/>
  <c r="AA21" i="10"/>
  <c r="AA101" i="10"/>
  <c r="Z93" i="10"/>
  <c r="Z53" i="10"/>
  <c r="Z13" i="10"/>
  <c r="AA81" i="10"/>
  <c r="Y89" i="10"/>
  <c r="Y49" i="10"/>
  <c r="Y9" i="10"/>
  <c r="AA67" i="10"/>
  <c r="X87" i="10"/>
  <c r="X47" i="10"/>
  <c r="X7" i="10"/>
  <c r="V31" i="10"/>
  <c r="U87" i="10"/>
  <c r="U47" i="10"/>
  <c r="U7" i="10"/>
  <c r="V47" i="10"/>
  <c r="T97" i="10"/>
  <c r="T57" i="10"/>
  <c r="T17" i="10"/>
  <c r="AB22" i="10"/>
  <c r="AA60" i="10"/>
  <c r="AA20" i="10"/>
  <c r="Z52" i="10"/>
  <c r="Z12" i="10"/>
  <c r="Y52" i="10"/>
  <c r="Y92" i="10"/>
  <c r="Y16" i="10"/>
  <c r="X76" i="10"/>
  <c r="X36" i="10"/>
  <c r="W66" i="10"/>
  <c r="W26" i="10"/>
  <c r="V82" i="10"/>
  <c r="V8" i="10"/>
  <c r="V40" i="10"/>
  <c r="U90" i="10"/>
  <c r="U50" i="10"/>
  <c r="U10" i="10"/>
  <c r="T54" i="10"/>
  <c r="T90" i="10"/>
  <c r="T6" i="10"/>
  <c r="S74" i="10"/>
  <c r="S34" i="10"/>
  <c r="W67" i="10"/>
  <c r="Z23" i="10"/>
  <c r="V53" i="10"/>
  <c r="AA30" i="10"/>
  <c r="U60" i="10"/>
  <c r="W83" i="10"/>
  <c r="S109" i="10"/>
  <c r="S85" i="10"/>
  <c r="W33" i="10"/>
  <c r="Z100" i="10"/>
  <c r="S25" i="10"/>
  <c r="S53" i="10"/>
  <c r="S37" i="10"/>
  <c r="AB86" i="10"/>
  <c r="AB81" i="10"/>
  <c r="AA19" i="10"/>
  <c r="AA93" i="10"/>
  <c r="Z91" i="10"/>
  <c r="Z51" i="10"/>
  <c r="Z11" i="10"/>
  <c r="AA73" i="10"/>
  <c r="Y87" i="10"/>
  <c r="Y47" i="10"/>
  <c r="Y7" i="10"/>
  <c r="AA59" i="10"/>
  <c r="X85" i="10"/>
  <c r="X45" i="10"/>
  <c r="X5" i="10"/>
  <c r="V27" i="10"/>
  <c r="U85" i="10"/>
  <c r="U45" i="10"/>
  <c r="U5" i="10"/>
  <c r="V43" i="10"/>
  <c r="T95" i="10"/>
  <c r="T55" i="10"/>
  <c r="T15" i="10"/>
  <c r="AB20" i="10"/>
  <c r="AA58" i="10"/>
  <c r="AA18" i="10"/>
  <c r="Z50" i="10"/>
  <c r="Z10" i="10"/>
  <c r="Y48" i="10"/>
  <c r="Y88" i="10"/>
  <c r="Y6" i="10"/>
  <c r="X74" i="10"/>
  <c r="X34" i="10"/>
  <c r="W64" i="10"/>
  <c r="W24" i="10"/>
  <c r="V80" i="10"/>
  <c r="W86" i="10"/>
  <c r="V36" i="10"/>
  <c r="U88" i="10"/>
  <c r="U48" i="10"/>
  <c r="U8" i="10"/>
  <c r="T50" i="10"/>
  <c r="T86" i="10"/>
  <c r="S72" i="10"/>
  <c r="S32" i="10"/>
  <c r="AB107" i="10"/>
  <c r="Y99" i="10"/>
  <c r="U17" i="10"/>
  <c r="Z22" i="10"/>
  <c r="T28" i="10"/>
  <c r="AB70" i="10"/>
  <c r="W103" i="10"/>
  <c r="Z104" i="10"/>
  <c r="S73" i="10"/>
  <c r="AB60" i="10"/>
  <c r="W65" i="10"/>
  <c r="W39" i="10"/>
  <c r="W17" i="10"/>
  <c r="S75" i="10"/>
  <c r="AB63" i="10"/>
  <c r="AA13" i="10"/>
  <c r="AA85" i="10"/>
  <c r="Z89" i="10"/>
  <c r="Z49" i="10"/>
  <c r="Z9" i="10"/>
  <c r="AA65" i="10"/>
  <c r="Y85" i="10"/>
  <c r="Y45" i="10"/>
  <c r="Y5" i="10"/>
  <c r="AA53" i="10"/>
  <c r="X83" i="10"/>
  <c r="X43" i="10"/>
  <c r="Y4" i="10"/>
  <c r="V23" i="10"/>
  <c r="U83" i="10"/>
  <c r="U43" i="10"/>
  <c r="V111" i="10"/>
  <c r="V39" i="10"/>
  <c r="T93" i="10"/>
  <c r="T53" i="10"/>
  <c r="T13" i="10"/>
  <c r="AB18" i="10"/>
  <c r="AA56" i="10"/>
  <c r="AA16" i="10"/>
  <c r="Z48" i="10"/>
  <c r="Z8" i="10"/>
  <c r="Y44" i="10"/>
  <c r="Y84" i="10"/>
  <c r="X113" i="10"/>
  <c r="X72" i="10"/>
  <c r="X32" i="10"/>
  <c r="W62" i="10"/>
  <c r="W22" i="10"/>
  <c r="V76" i="10"/>
  <c r="W72" i="10"/>
  <c r="V32" i="10"/>
  <c r="U86" i="10"/>
  <c r="U46" i="10"/>
  <c r="U6" i="10"/>
  <c r="T46" i="10"/>
  <c r="T82" i="10"/>
  <c r="S110" i="10"/>
  <c r="S70" i="10"/>
  <c r="S30" i="10"/>
  <c r="AB32" i="10"/>
  <c r="AB21" i="10"/>
  <c r="X97" i="10"/>
  <c r="T67" i="10"/>
  <c r="Y36" i="10"/>
  <c r="X46" i="10"/>
  <c r="W36" i="10"/>
  <c r="T72" i="10"/>
  <c r="S57" i="10"/>
  <c r="AB97" i="10"/>
  <c r="W71" i="10"/>
  <c r="Z110" i="10"/>
  <c r="S93" i="10"/>
  <c r="S65" i="10"/>
  <c r="W23" i="10"/>
  <c r="W61" i="10"/>
  <c r="AB55" i="10"/>
  <c r="AA9" i="10"/>
  <c r="AA79" i="10"/>
  <c r="Z87" i="10"/>
  <c r="Z47" i="10"/>
  <c r="Z7" i="10"/>
  <c r="AA57" i="10"/>
  <c r="Y83" i="10"/>
  <c r="Y43" i="10"/>
  <c r="AB89" i="10"/>
  <c r="AA47" i="10"/>
  <c r="X81" i="10"/>
  <c r="X41" i="10"/>
  <c r="V107" i="10"/>
  <c r="V19" i="10"/>
  <c r="U81" i="10"/>
  <c r="U41" i="10"/>
  <c r="V109" i="10"/>
  <c r="V35" i="10"/>
  <c r="T91" i="10"/>
  <c r="T51" i="10"/>
  <c r="T11" i="10"/>
  <c r="AB16" i="10"/>
  <c r="AA54" i="10"/>
  <c r="AA14" i="10"/>
  <c r="Z46" i="10"/>
  <c r="Z6" i="10"/>
  <c r="Y38" i="10"/>
  <c r="Y80" i="10"/>
  <c r="X110" i="10"/>
  <c r="X70" i="10"/>
  <c r="X30" i="10"/>
  <c r="W60" i="10"/>
  <c r="W20" i="10"/>
  <c r="V72" i="10"/>
  <c r="V28" i="10"/>
  <c r="U84" i="10"/>
  <c r="U44" i="10"/>
  <c r="W90" i="10"/>
  <c r="T42" i="10"/>
  <c r="T78" i="10"/>
  <c r="S108" i="10"/>
  <c r="S68" i="10"/>
  <c r="S28" i="10"/>
  <c r="AA96" i="10"/>
  <c r="AB7" i="10"/>
  <c r="U57" i="10"/>
  <c r="W43" i="10"/>
  <c r="W91" i="10"/>
  <c r="Z98" i="10"/>
  <c r="S59" i="10"/>
  <c r="AB46" i="10"/>
  <c r="AA94" i="10"/>
  <c r="AB101" i="10"/>
  <c r="Z106" i="10"/>
  <c r="AB48" i="10"/>
  <c r="AB45" i="10"/>
  <c r="AA7" i="10"/>
  <c r="AA71" i="10"/>
  <c r="Z85" i="10"/>
  <c r="Z45" i="10"/>
  <c r="Z5" i="10"/>
  <c r="AA49" i="10"/>
  <c r="Y81" i="10"/>
  <c r="Y41" i="10"/>
  <c r="AB79" i="10"/>
  <c r="AA39" i="10"/>
  <c r="X79" i="10"/>
  <c r="X39" i="10"/>
  <c r="V103" i="10"/>
  <c r="V13" i="10"/>
  <c r="U79" i="10"/>
  <c r="U39" i="10"/>
  <c r="V105" i="10"/>
  <c r="V33" i="10"/>
  <c r="T89" i="10"/>
  <c r="T49" i="10"/>
  <c r="T9" i="10"/>
  <c r="AB14" i="10"/>
  <c r="AA52" i="10"/>
  <c r="AA12" i="10"/>
  <c r="Z44" i="10"/>
  <c r="Z82" i="10"/>
  <c r="Y34" i="10"/>
  <c r="Y76" i="10"/>
  <c r="X108" i="10"/>
  <c r="X68" i="10"/>
  <c r="X28" i="10"/>
  <c r="W58" i="10"/>
  <c r="W18" i="10"/>
  <c r="V68" i="10"/>
  <c r="V108" i="10"/>
  <c r="V24" i="10"/>
  <c r="U82" i="10"/>
  <c r="U42" i="10"/>
  <c r="W76" i="10"/>
  <c r="T38" i="10"/>
  <c r="T74" i="10"/>
  <c r="S106" i="10"/>
  <c r="S66" i="10"/>
  <c r="S26" i="10"/>
  <c r="AA37" i="10"/>
  <c r="X17" i="10"/>
  <c r="V26" i="10"/>
  <c r="W96" i="10"/>
  <c r="W29" i="10"/>
  <c r="S83" i="10"/>
  <c r="S91" i="10"/>
  <c r="AA98" i="10"/>
  <c r="AB72" i="10"/>
  <c r="W99" i="10"/>
  <c r="AB113" i="10"/>
  <c r="AA100" i="10"/>
  <c r="S35" i="10"/>
  <c r="AB37" i="10"/>
  <c r="AA5" i="10"/>
  <c r="AA63" i="10"/>
  <c r="Z83" i="10"/>
  <c r="Z43" i="10"/>
  <c r="AB93" i="10"/>
  <c r="AA41" i="10"/>
  <c r="Y79" i="10"/>
  <c r="Y39" i="10"/>
  <c r="AB73" i="10"/>
  <c r="AA29" i="10"/>
  <c r="X77" i="10"/>
  <c r="X37" i="10"/>
  <c r="V99" i="10"/>
  <c r="V9" i="10"/>
  <c r="U77" i="10"/>
  <c r="U37" i="10"/>
  <c r="V101" i="10"/>
  <c r="V29" i="10"/>
  <c r="T87" i="10"/>
  <c r="T47" i="10"/>
  <c r="T7" i="10"/>
  <c r="AB12" i="10"/>
  <c r="AA50" i="10"/>
  <c r="AA10" i="10"/>
  <c r="Z42" i="10"/>
  <c r="Z70" i="10"/>
  <c r="Y30" i="10"/>
  <c r="Y74" i="10"/>
  <c r="X106" i="10"/>
  <c r="X66" i="10"/>
  <c r="X26" i="10"/>
  <c r="W56" i="10"/>
  <c r="W16" i="10"/>
  <c r="V64" i="10"/>
  <c r="V104" i="10"/>
  <c r="V20" i="10"/>
  <c r="U80" i="10"/>
  <c r="U40" i="10"/>
  <c r="T110" i="10"/>
  <c r="T34" i="10"/>
  <c r="T70" i="10"/>
  <c r="S104" i="10"/>
  <c r="S64" i="10"/>
  <c r="S24" i="10"/>
  <c r="S62" i="10"/>
  <c r="S22" i="10"/>
  <c r="S23" i="10"/>
  <c r="AB94" i="10"/>
  <c r="AA33" i="10"/>
  <c r="V95" i="10"/>
  <c r="V25" i="10"/>
  <c r="Y110" i="10"/>
  <c r="Y26" i="10"/>
  <c r="Y70" i="10"/>
  <c r="X104" i="10"/>
  <c r="X64" i="10"/>
  <c r="X24" i="10"/>
  <c r="W54" i="10"/>
  <c r="W14" i="10"/>
  <c r="T64" i="10"/>
  <c r="AB88" i="10"/>
  <c r="S89" i="10"/>
  <c r="AB56" i="10"/>
  <c r="S97" i="10"/>
  <c r="W104" i="10"/>
  <c r="AA92" i="10"/>
  <c r="S33" i="10"/>
  <c r="AB106" i="10"/>
  <c r="W87" i="10"/>
  <c r="S111" i="10"/>
  <c r="AB11" i="10"/>
  <c r="AB87" i="10"/>
  <c r="AA45" i="10"/>
  <c r="Z79" i="10"/>
  <c r="Z39" i="10"/>
  <c r="AB75" i="10"/>
  <c r="AA15" i="10"/>
  <c r="Y75" i="10"/>
  <c r="Y35" i="10"/>
  <c r="AB59" i="10"/>
  <c r="W4" i="10"/>
  <c r="X73" i="10"/>
  <c r="X33" i="10"/>
  <c r="V91" i="10"/>
  <c r="Z4" i="10"/>
  <c r="U73" i="10"/>
  <c r="U33" i="10"/>
  <c r="V93" i="10"/>
  <c r="V21" i="10"/>
  <c r="T83" i="10"/>
  <c r="T43" i="10"/>
  <c r="S21" i="10"/>
  <c r="AB8" i="10"/>
  <c r="AA46" i="10"/>
  <c r="AA6" i="10"/>
  <c r="Z38" i="10"/>
  <c r="Y106" i="10"/>
  <c r="Y22" i="10"/>
  <c r="Y66" i="10"/>
  <c r="X102" i="10"/>
  <c r="X62" i="10"/>
  <c r="X22" i="10"/>
  <c r="W52" i="10"/>
  <c r="W12" i="10"/>
  <c r="V58" i="10"/>
  <c r="V96" i="10"/>
  <c r="V12" i="10"/>
  <c r="U76" i="10"/>
  <c r="U36" i="10"/>
  <c r="T102" i="10"/>
  <c r="T26" i="10"/>
  <c r="T60" i="10"/>
  <c r="S100" i="10"/>
  <c r="S60" i="10"/>
  <c r="S20" i="10"/>
  <c r="W51" i="10"/>
  <c r="AB83" i="10"/>
  <c r="X35" i="10"/>
  <c r="T45" i="10"/>
  <c r="V60" i="10"/>
  <c r="S87" i="10"/>
  <c r="AB95" i="10"/>
  <c r="S43" i="10"/>
  <c r="AB90" i="10"/>
  <c r="AB82" i="10"/>
  <c r="AB109" i="10"/>
  <c r="AB92" i="10"/>
  <c r="W77" i="10"/>
  <c r="AB76" i="10"/>
  <c r="W105" i="10"/>
  <c r="AA99" i="10"/>
  <c r="AB77" i="10"/>
  <c r="AA35" i="10"/>
  <c r="Z77" i="10"/>
  <c r="Z37" i="10"/>
  <c r="AB65" i="10"/>
  <c r="V4" i="10"/>
  <c r="Y73" i="10"/>
  <c r="Y33" i="10"/>
  <c r="AB51" i="10"/>
  <c r="X111" i="10"/>
  <c r="X71" i="10"/>
  <c r="X31" i="10"/>
  <c r="V85" i="10"/>
  <c r="U111" i="10"/>
  <c r="U71" i="10"/>
  <c r="U31" i="10"/>
  <c r="V89" i="10"/>
  <c r="V17" i="10"/>
  <c r="T81" i="10"/>
  <c r="T41" i="10"/>
  <c r="S19" i="10"/>
  <c r="AB6" i="10"/>
  <c r="AA44" i="10"/>
  <c r="Z84" i="10"/>
  <c r="Z36" i="10"/>
  <c r="Y102" i="10"/>
  <c r="Y18" i="10"/>
  <c r="Y62" i="10"/>
  <c r="X100" i="10"/>
  <c r="X60" i="10"/>
  <c r="X20" i="10"/>
  <c r="W50" i="10"/>
  <c r="W10" i="10"/>
  <c r="V54" i="10"/>
  <c r="V92" i="10"/>
  <c r="V6" i="10"/>
  <c r="U74" i="10"/>
  <c r="U34" i="10"/>
  <c r="T100" i="10"/>
  <c r="T22" i="10"/>
  <c r="T56" i="10"/>
  <c r="S98" i="10"/>
  <c r="S58" i="10"/>
  <c r="S18" i="10"/>
  <c r="AB104" i="10"/>
  <c r="Z41" i="10"/>
  <c r="V7" i="10"/>
  <c r="AB10" i="10"/>
  <c r="U38" i="10"/>
  <c r="Z86" i="10"/>
  <c r="W106" i="10"/>
  <c r="S29" i="10"/>
  <c r="W81" i="10"/>
  <c r="W27" i="10"/>
  <c r="S103" i="10"/>
  <c r="W31" i="10"/>
  <c r="AB64" i="10"/>
  <c r="S63" i="10"/>
  <c r="AB99" i="10"/>
  <c r="AA89" i="10"/>
  <c r="AB69" i="10"/>
  <c r="AA11" i="10"/>
  <c r="Z75" i="10"/>
  <c r="Z35" i="10"/>
  <c r="AB57" i="10"/>
  <c r="Y111" i="10"/>
  <c r="Y71" i="10"/>
  <c r="Y31" i="10"/>
  <c r="AB41" i="10"/>
  <c r="X109" i="10"/>
  <c r="X69" i="10"/>
  <c r="X29" i="10"/>
  <c r="V81" i="10"/>
  <c r="U109" i="10"/>
  <c r="U69" i="10"/>
  <c r="U29" i="10"/>
  <c r="V87" i="10"/>
  <c r="V15" i="10"/>
  <c r="T79" i="10"/>
  <c r="T39" i="10"/>
  <c r="S17" i="10"/>
  <c r="AA82" i="10"/>
  <c r="AA42" i="10"/>
  <c r="Z78" i="10"/>
  <c r="Z34" i="10"/>
  <c r="Y98" i="10"/>
  <c r="Y14" i="10"/>
  <c r="Y58" i="10"/>
  <c r="X98" i="10"/>
  <c r="X58" i="10"/>
  <c r="X18" i="10"/>
  <c r="W48" i="10"/>
  <c r="W8" i="10"/>
  <c r="V50" i="10"/>
  <c r="V88" i="10"/>
  <c r="U72" i="10"/>
  <c r="U32" i="10"/>
  <c r="T96" i="10"/>
  <c r="T18" i="10"/>
  <c r="T52" i="10"/>
  <c r="S96" i="10"/>
  <c r="S56" i="10"/>
  <c r="S16" i="10"/>
  <c r="AB4" i="10"/>
  <c r="W11" i="10"/>
  <c r="Y77" i="10"/>
  <c r="U75" i="10"/>
  <c r="AA48" i="10"/>
  <c r="U78" i="10"/>
  <c r="W7" i="10"/>
  <c r="S105" i="10"/>
  <c r="W107" i="10"/>
  <c r="AB68" i="10"/>
  <c r="Z108" i="10"/>
  <c r="W55" i="10"/>
  <c r="AB108" i="10"/>
  <c r="S51" i="10"/>
  <c r="W49" i="10"/>
  <c r="W94" i="10"/>
  <c r="AA77" i="10"/>
  <c r="AB61" i="10"/>
  <c r="U4" i="10"/>
  <c r="Z73" i="10"/>
  <c r="Z33" i="10"/>
  <c r="AB47" i="10"/>
  <c r="Y109" i="10"/>
  <c r="Y69" i="10"/>
  <c r="Y29" i="10"/>
  <c r="AB33" i="10"/>
  <c r="X107" i="10"/>
  <c r="X67" i="10"/>
  <c r="X27" i="10"/>
  <c r="V77" i="10"/>
  <c r="U107" i="10"/>
  <c r="U67" i="10"/>
  <c r="U27" i="10"/>
  <c r="V83" i="10"/>
  <c r="V11" i="10"/>
  <c r="T77" i="10"/>
  <c r="T37" i="10"/>
  <c r="S15" i="10"/>
  <c r="AA80" i="10"/>
  <c r="AA40" i="10"/>
  <c r="Z76" i="10"/>
  <c r="Z32" i="10"/>
  <c r="Y94" i="10"/>
  <c r="Y12" i="10"/>
  <c r="Y54" i="10"/>
  <c r="X96" i="10"/>
  <c r="X56" i="10"/>
  <c r="X16" i="10"/>
  <c r="W46" i="10"/>
  <c r="W6" i="10"/>
  <c r="V46" i="10"/>
  <c r="V84" i="10"/>
  <c r="U110" i="10"/>
  <c r="U70" i="10"/>
  <c r="U30" i="10"/>
  <c r="T92" i="10"/>
  <c r="T14" i="10"/>
  <c r="T48" i="10"/>
  <c r="S94" i="10"/>
  <c r="S54" i="10"/>
  <c r="S14" i="10"/>
  <c r="W110" i="10"/>
  <c r="Z81" i="10"/>
  <c r="X75" i="10"/>
  <c r="T5" i="10"/>
  <c r="T106" i="10"/>
  <c r="W85" i="10"/>
  <c r="S47" i="10"/>
  <c r="S39" i="10"/>
  <c r="S55" i="10"/>
  <c r="AA102" i="10"/>
  <c r="AA108" i="10"/>
  <c r="W97" i="10"/>
  <c r="W37" i="10"/>
  <c r="AB36" i="10"/>
  <c r="AA86" i="10"/>
  <c r="AA69" i="10"/>
  <c r="AB53" i="10"/>
  <c r="Z111" i="10"/>
  <c r="Z71" i="10"/>
  <c r="Z31" i="10"/>
  <c r="AB39" i="10"/>
  <c r="Y107" i="10"/>
  <c r="Y67" i="10"/>
  <c r="Y27" i="10"/>
  <c r="AB25" i="10"/>
  <c r="X105" i="10"/>
  <c r="X65" i="10"/>
  <c r="X25" i="10"/>
  <c r="V73" i="10"/>
  <c r="U105" i="10"/>
  <c r="U65" i="10"/>
  <c r="U25" i="10"/>
  <c r="V79" i="10"/>
  <c r="V5" i="10"/>
  <c r="T75" i="10"/>
  <c r="T35" i="10"/>
  <c r="S13" i="10"/>
  <c r="AA78" i="10"/>
  <c r="AA38" i="10"/>
  <c r="Z74" i="10"/>
  <c r="Z30" i="10"/>
  <c r="Y90" i="10"/>
  <c r="Y10" i="10"/>
  <c r="Y50" i="10"/>
  <c r="X94" i="10"/>
  <c r="X54" i="10"/>
  <c r="X14" i="10"/>
  <c r="W44" i="10"/>
  <c r="W82" i="10"/>
  <c r="V42" i="10"/>
  <c r="V78" i="10"/>
  <c r="U108" i="10"/>
  <c r="U68" i="10"/>
  <c r="U28" i="10"/>
  <c r="T88" i="10"/>
  <c r="T10" i="10"/>
  <c r="T44" i="10"/>
  <c r="S92" i="10"/>
  <c r="S52" i="10"/>
  <c r="S12" i="10"/>
  <c r="AB84" i="10"/>
  <c r="AA55" i="10"/>
  <c r="AA17" i="10"/>
  <c r="T85" i="10"/>
  <c r="T30" i="10"/>
  <c r="AA104" i="10"/>
  <c r="AA110" i="10"/>
  <c r="S107" i="10"/>
  <c r="W41" i="10"/>
  <c r="AB96" i="10"/>
  <c r="S4" i="10"/>
  <c r="S69" i="10"/>
  <c r="W19" i="10"/>
  <c r="W15" i="10"/>
  <c r="AB74" i="10"/>
  <c r="AA61" i="10"/>
  <c r="AB43" i="10"/>
  <c r="Z109" i="10"/>
  <c r="Z69" i="10"/>
  <c r="Z29" i="10"/>
  <c r="AB31" i="10"/>
  <c r="Y105" i="10"/>
  <c r="Y65" i="10"/>
  <c r="Y25" i="10"/>
  <c r="AB19" i="10"/>
  <c r="X103" i="10"/>
  <c r="X63" i="10"/>
  <c r="X23" i="10"/>
  <c r="V69" i="10"/>
  <c r="U103" i="10"/>
  <c r="U63" i="10"/>
  <c r="U23" i="10"/>
  <c r="V75" i="10"/>
  <c r="AA4" i="10"/>
  <c r="T73" i="10"/>
  <c r="T33" i="10"/>
  <c r="S11" i="10"/>
  <c r="AA76" i="10"/>
  <c r="AA36" i="10"/>
  <c r="Z72" i="10"/>
  <c r="Z28" i="10"/>
  <c r="Y86" i="10"/>
  <c r="Y8" i="10"/>
  <c r="Y46" i="10"/>
  <c r="X92" i="10"/>
  <c r="X52" i="10"/>
  <c r="X12" i="10"/>
  <c r="W42" i="10"/>
  <c r="W70" i="10"/>
  <c r="V38" i="10"/>
  <c r="V74" i="10"/>
  <c r="U106" i="10"/>
  <c r="U66" i="10"/>
  <c r="U26" i="10"/>
  <c r="T84" i="10"/>
  <c r="T8" i="10"/>
  <c r="T40" i="10"/>
  <c r="S90" i="10"/>
  <c r="S50" i="10"/>
  <c r="S10" i="10"/>
  <c r="AB42" i="10"/>
  <c r="AB91" i="10"/>
  <c r="AB67" i="10"/>
  <c r="V97" i="10"/>
  <c r="Z40" i="10"/>
  <c r="V100" i="10"/>
  <c r="W45" i="10"/>
  <c r="W59" i="10"/>
  <c r="AB38" i="10"/>
  <c r="S27" i="10"/>
  <c r="AA90" i="10"/>
  <c r="W108" i="10"/>
  <c r="AB102" i="10"/>
  <c r="Z113" i="10"/>
  <c r="AB62" i="10"/>
  <c r="S61" i="10"/>
  <c r="AA51" i="10"/>
  <c r="AB35" i="10"/>
  <c r="Z107" i="10"/>
  <c r="Z67" i="10"/>
  <c r="Z27" i="10"/>
  <c r="AB23" i="10"/>
  <c r="Y103" i="10"/>
  <c r="Y63" i="10"/>
  <c r="Y23" i="10"/>
  <c r="AB5" i="10"/>
  <c r="X101" i="10"/>
  <c r="X61" i="10"/>
  <c r="X21" i="10"/>
  <c r="V63" i="10"/>
  <c r="U101" i="10"/>
  <c r="U61" i="10"/>
  <c r="U21" i="10"/>
  <c r="V71" i="10"/>
  <c r="T111" i="10"/>
  <c r="T71" i="10"/>
  <c r="T31" i="10"/>
  <c r="S9" i="10"/>
  <c r="AA74" i="10"/>
  <c r="AA34" i="10"/>
  <c r="Z66" i="10"/>
  <c r="Z26" i="10"/>
  <c r="Y82" i="10"/>
  <c r="Z80" i="10"/>
  <c r="Y42" i="10"/>
  <c r="X90" i="10"/>
  <c r="X50" i="10"/>
  <c r="X10" i="10"/>
  <c r="W40" i="10"/>
  <c r="V110" i="10"/>
  <c r="V34" i="10"/>
  <c r="V70" i="10"/>
  <c r="U104" i="10"/>
  <c r="U64" i="10"/>
  <c r="U24" i="10"/>
  <c r="T80" i="10"/>
  <c r="W88" i="10"/>
  <c r="T36" i="10"/>
  <c r="S88" i="10"/>
  <c r="S48" i="10"/>
  <c r="S8" i="10"/>
  <c r="W69" i="10"/>
  <c r="AB29" i="10"/>
  <c r="Y37" i="10"/>
  <c r="U35" i="10"/>
  <c r="AA8" i="10"/>
  <c r="AB58" i="10"/>
  <c r="AB98" i="10"/>
  <c r="AA113" i="10"/>
  <c r="S79" i="10"/>
  <c r="S81" i="10"/>
  <c r="Z102" i="10"/>
  <c r="X4" i="10"/>
  <c r="AA106" i="10"/>
  <c r="S49" i="10"/>
  <c r="W47" i="10"/>
  <c r="AA43" i="10"/>
  <c r="AB27" i="10"/>
  <c r="Z105" i="10"/>
  <c r="Z65" i="10"/>
  <c r="Z25" i="10"/>
  <c r="AB17" i="10"/>
  <c r="Y101" i="10"/>
  <c r="Y61" i="10"/>
  <c r="Y21" i="10"/>
  <c r="AA109" i="10"/>
  <c r="X99" i="10"/>
  <c r="X59" i="10"/>
  <c r="X19" i="10"/>
  <c r="V59" i="10"/>
  <c r="U99" i="10"/>
  <c r="U59" i="10"/>
  <c r="U19" i="10"/>
  <c r="V67" i="10"/>
  <c r="T109" i="10"/>
  <c r="T69" i="10"/>
  <c r="T29" i="10"/>
  <c r="S7" i="10"/>
  <c r="AA72" i="10"/>
  <c r="AA32" i="10"/>
  <c r="Z64" i="10"/>
  <c r="Z24" i="10"/>
  <c r="Y78" i="10"/>
  <c r="Z68" i="10"/>
  <c r="Y40" i="10"/>
  <c r="X88" i="10"/>
  <c r="X48" i="10"/>
  <c r="X8" i="10"/>
  <c r="W38" i="10"/>
  <c r="V106" i="10"/>
  <c r="V30" i="10"/>
  <c r="V66" i="10"/>
  <c r="U102" i="10"/>
  <c r="U62" i="10"/>
  <c r="U22" i="10"/>
  <c r="T76" i="10"/>
  <c r="W78" i="10"/>
  <c r="T32" i="10"/>
  <c r="S86" i="10"/>
  <c r="S46" i="10"/>
  <c r="R48" i="8"/>
  <c r="R21" i="13" s="1"/>
  <c r="Q47" i="8"/>
  <c r="U10" i="8" l="1"/>
  <c r="T15" i="8"/>
  <c r="T14" i="8"/>
  <c r="U7" i="8"/>
  <c r="P58" i="8"/>
  <c r="D95" i="9"/>
  <c r="F95" i="9" s="1"/>
  <c r="D90" i="9"/>
  <c r="F90" i="9" s="1"/>
  <c r="D85" i="9"/>
  <c r="F85" i="9" s="1"/>
  <c r="D80" i="9"/>
  <c r="F80" i="9" s="1"/>
  <c r="D94" i="9"/>
  <c r="D89" i="9"/>
  <c r="D84" i="9"/>
  <c r="D79" i="9"/>
  <c r="P50" i="8"/>
  <c r="Q49" i="8"/>
  <c r="Q16" i="13" s="1"/>
  <c r="Q25" i="13" s="1"/>
  <c r="Q26" i="13" s="1"/>
  <c r="S48" i="8"/>
  <c r="R47" i="8"/>
  <c r="V10" i="8" l="1"/>
  <c r="U15" i="8"/>
  <c r="U14" i="8"/>
  <c r="V7" i="8"/>
  <c r="S21" i="13"/>
  <c r="Q58" i="8"/>
  <c r="D81" i="9"/>
  <c r="D82" i="9" s="1"/>
  <c r="F79" i="9"/>
  <c r="G79" i="9" s="1"/>
  <c r="I79" i="9" s="1"/>
  <c r="F84" i="9"/>
  <c r="G84" i="9" s="1"/>
  <c r="I84" i="9" s="1"/>
  <c r="D86" i="9"/>
  <c r="D87" i="9" s="1"/>
  <c r="F89" i="9"/>
  <c r="G89" i="9" s="1"/>
  <c r="I89" i="9" s="1"/>
  <c r="D91" i="9"/>
  <c r="D92" i="9" s="1"/>
  <c r="D96" i="9"/>
  <c r="D97" i="9" s="1"/>
  <c r="F94" i="9"/>
  <c r="G94" i="9" s="1"/>
  <c r="I94" i="9" s="1"/>
  <c r="R49" i="8"/>
  <c r="R16" i="13" s="1"/>
  <c r="R25" i="13" s="1"/>
  <c r="R26" i="13" s="1"/>
  <c r="Q50" i="8"/>
  <c r="T48" i="8"/>
  <c r="T21" i="13" s="1"/>
  <c r="S47" i="8"/>
  <c r="W10" i="8" l="1"/>
  <c r="V15" i="8"/>
  <c r="V14" i="8"/>
  <c r="W7" i="8"/>
  <c r="F42" i="9"/>
  <c r="M42" i="9" s="1"/>
  <c r="F43" i="9"/>
  <c r="M43" i="9" s="1"/>
  <c r="F41" i="9"/>
  <c r="M41" i="9" s="1"/>
  <c r="F39" i="9"/>
  <c r="M39" i="9" s="1"/>
  <c r="F40" i="9"/>
  <c r="M40" i="9" s="1"/>
  <c r="F8" i="9"/>
  <c r="G8" i="9" s="1"/>
  <c r="M8" i="9" s="1"/>
  <c r="F9" i="9"/>
  <c r="G9" i="9" s="1"/>
  <c r="M9" i="9" s="1"/>
  <c r="F7" i="9"/>
  <c r="G7" i="9" s="1"/>
  <c r="M7" i="9" s="1"/>
  <c r="F10" i="9"/>
  <c r="G10" i="9" s="1"/>
  <c r="M10" i="9" s="1"/>
  <c r="F6" i="9"/>
  <c r="G6" i="9" s="1"/>
  <c r="M6" i="9" s="1"/>
  <c r="F33" i="9"/>
  <c r="M33" i="9" s="1"/>
  <c r="F29" i="9"/>
  <c r="M29" i="9" s="1"/>
  <c r="F30" i="9"/>
  <c r="M30" i="9" s="1"/>
  <c r="F32" i="9"/>
  <c r="M32" i="9" s="1"/>
  <c r="F31" i="9"/>
  <c r="M31" i="9" s="1"/>
  <c r="F46" i="9"/>
  <c r="M46" i="9" s="1"/>
  <c r="F45" i="9"/>
  <c r="M45" i="9" s="1"/>
  <c r="F47" i="9"/>
  <c r="M47" i="9" s="1"/>
  <c r="F48" i="9"/>
  <c r="M48" i="9" s="1"/>
  <c r="F44" i="9"/>
  <c r="M44" i="9" s="1"/>
  <c r="F17" i="9"/>
  <c r="G17" i="9" s="1"/>
  <c r="M17" i="9" s="1"/>
  <c r="F20" i="9"/>
  <c r="G20" i="9" s="1"/>
  <c r="M20" i="9" s="1"/>
  <c r="F16" i="9"/>
  <c r="G16" i="9" s="1"/>
  <c r="M16" i="9" s="1"/>
  <c r="F18" i="9"/>
  <c r="G18" i="9" s="1"/>
  <c r="M18" i="9" s="1"/>
  <c r="F19" i="9"/>
  <c r="G19" i="9" s="1"/>
  <c r="M19" i="9" s="1"/>
  <c r="F25" i="9"/>
  <c r="G25" i="9" s="1"/>
  <c r="M25" i="9" s="1"/>
  <c r="F21" i="9"/>
  <c r="G21" i="9" s="1"/>
  <c r="M21" i="9" s="1"/>
  <c r="F24" i="9"/>
  <c r="G24" i="9" s="1"/>
  <c r="M24" i="9" s="1"/>
  <c r="F23" i="9"/>
  <c r="G23" i="9" s="1"/>
  <c r="M23" i="9" s="1"/>
  <c r="F22" i="9"/>
  <c r="G22" i="9" s="1"/>
  <c r="M22" i="9" s="1"/>
  <c r="F11" i="9"/>
  <c r="G11" i="9" s="1"/>
  <c r="M11" i="9" s="1"/>
  <c r="F15" i="9"/>
  <c r="G15" i="9" s="1"/>
  <c r="M15" i="9" s="1"/>
  <c r="F13" i="9"/>
  <c r="G13" i="9" s="1"/>
  <c r="M13" i="9" s="1"/>
  <c r="F14" i="9"/>
  <c r="G14" i="9" s="1"/>
  <c r="M14" i="9" s="1"/>
  <c r="F12" i="9"/>
  <c r="G12" i="9" s="1"/>
  <c r="M12" i="9" s="1"/>
  <c r="F38" i="9"/>
  <c r="M38" i="9" s="1"/>
  <c r="F37" i="9"/>
  <c r="M37" i="9" s="1"/>
  <c r="F36" i="9"/>
  <c r="M36" i="9" s="1"/>
  <c r="F35" i="9"/>
  <c r="M35" i="9" s="1"/>
  <c r="F34" i="9"/>
  <c r="M34" i="9" s="1"/>
  <c r="I81" i="9"/>
  <c r="J81" i="9" s="1"/>
  <c r="K81" i="9" s="1"/>
  <c r="R58" i="8"/>
  <c r="R50" i="8"/>
  <c r="S49" i="8"/>
  <c r="S16" i="13" s="1"/>
  <c r="S25" i="13" s="1"/>
  <c r="S26" i="13" s="1"/>
  <c r="T47" i="8"/>
  <c r="U48" i="8"/>
  <c r="U21" i="13" s="1"/>
  <c r="D131" i="3"/>
  <c r="E126" i="3"/>
  <c r="D126" i="3"/>
  <c r="E121" i="3"/>
  <c r="D116" i="3"/>
  <c r="E108" i="3"/>
  <c r="X10" i="8" l="1"/>
  <c r="W15" i="8"/>
  <c r="W14" i="8"/>
  <c r="X7" i="8"/>
  <c r="N34" i="9"/>
  <c r="O34" i="9" s="1"/>
  <c r="P34" i="9" s="1"/>
  <c r="Q34" i="9" s="1"/>
  <c r="R34" i="9" s="1"/>
  <c r="S34" i="9" s="1"/>
  <c r="T34" i="9" s="1"/>
  <c r="U34" i="9" s="1"/>
  <c r="V34" i="9" s="1"/>
  <c r="W34" i="9" s="1"/>
  <c r="X34" i="9" s="1"/>
  <c r="Y34" i="9" s="1"/>
  <c r="Z34" i="9" s="1"/>
  <c r="AA34" i="9" s="1"/>
  <c r="AB34" i="9" s="1"/>
  <c r="AC34" i="9" s="1"/>
  <c r="AD34" i="9" s="1"/>
  <c r="AE34" i="9" s="1"/>
  <c r="AF34" i="9" s="1"/>
  <c r="AG34" i="9" s="1"/>
  <c r="AH34" i="9" s="1"/>
  <c r="AI34" i="9" s="1"/>
  <c r="AJ34" i="9" s="1"/>
  <c r="AK34" i="9" s="1"/>
  <c r="AL34" i="9" s="1"/>
  <c r="AM34" i="9" s="1"/>
  <c r="AN34" i="9" s="1"/>
  <c r="AO34" i="9" s="1"/>
  <c r="AP34" i="9" s="1"/>
  <c r="AQ34" i="9" s="1"/>
  <c r="AR34" i="9" s="1"/>
  <c r="AS34" i="9" s="1"/>
  <c r="AT34" i="9" s="1"/>
  <c r="AU34" i="9" s="1"/>
  <c r="AV34" i="9" s="1"/>
  <c r="AW34" i="9" s="1"/>
  <c r="AX34" i="9" s="1"/>
  <c r="AY34" i="9" s="1"/>
  <c r="AZ34" i="9" s="1"/>
  <c r="N38" i="9"/>
  <c r="O38" i="9" s="1"/>
  <c r="P38" i="9" s="1"/>
  <c r="Q38" i="9" s="1"/>
  <c r="R38" i="9" s="1"/>
  <c r="S38" i="9" s="1"/>
  <c r="T38" i="9" s="1"/>
  <c r="U38" i="9" s="1"/>
  <c r="V38" i="9" s="1"/>
  <c r="W38" i="9" s="1"/>
  <c r="X38" i="9" s="1"/>
  <c r="Y38" i="9" s="1"/>
  <c r="Z38" i="9" s="1"/>
  <c r="AA38" i="9" s="1"/>
  <c r="AB38" i="9" s="1"/>
  <c r="AC38" i="9" s="1"/>
  <c r="AD38" i="9" s="1"/>
  <c r="AE38" i="9" s="1"/>
  <c r="AF38" i="9" s="1"/>
  <c r="AG38" i="9" s="1"/>
  <c r="AH38" i="9" s="1"/>
  <c r="AI38" i="9" s="1"/>
  <c r="AJ38" i="9" s="1"/>
  <c r="AK38" i="9" s="1"/>
  <c r="AL38" i="9" s="1"/>
  <c r="AM38" i="9" s="1"/>
  <c r="AN38" i="9" s="1"/>
  <c r="AO38" i="9" s="1"/>
  <c r="AP38" i="9" s="1"/>
  <c r="AQ38" i="9" s="1"/>
  <c r="AR38" i="9" s="1"/>
  <c r="AS38" i="9" s="1"/>
  <c r="AT38" i="9" s="1"/>
  <c r="AU38" i="9" s="1"/>
  <c r="AV38" i="9" s="1"/>
  <c r="AW38" i="9" s="1"/>
  <c r="AX38" i="9" s="1"/>
  <c r="AY38" i="9" s="1"/>
  <c r="AZ38" i="9" s="1"/>
  <c r="N14" i="9"/>
  <c r="O14" i="9" s="1"/>
  <c r="P14" i="9" s="1"/>
  <c r="Q14" i="9" s="1"/>
  <c r="R14" i="9" s="1"/>
  <c r="S14" i="9" s="1"/>
  <c r="T14" i="9" s="1"/>
  <c r="U14" i="9" s="1"/>
  <c r="V14" i="9" s="1"/>
  <c r="W14" i="9" s="1"/>
  <c r="X14" i="9" s="1"/>
  <c r="Y14" i="9" s="1"/>
  <c r="Z14" i="9" s="1"/>
  <c r="AA14" i="9" s="1"/>
  <c r="AB14" i="9" s="1"/>
  <c r="AC14" i="9" s="1"/>
  <c r="AD14" i="9" s="1"/>
  <c r="AE14" i="9" s="1"/>
  <c r="AF14" i="9" s="1"/>
  <c r="AG14" i="9" s="1"/>
  <c r="AH14" i="9" s="1"/>
  <c r="AI14" i="9" s="1"/>
  <c r="AJ14" i="9" s="1"/>
  <c r="AK14" i="9" s="1"/>
  <c r="AL14" i="9" s="1"/>
  <c r="AM14" i="9" s="1"/>
  <c r="AN14" i="9" s="1"/>
  <c r="AO14" i="9" s="1"/>
  <c r="AP14" i="9" s="1"/>
  <c r="AQ14" i="9" s="1"/>
  <c r="AR14" i="9" s="1"/>
  <c r="AS14" i="9" s="1"/>
  <c r="AT14" i="9" s="1"/>
  <c r="AU14" i="9" s="1"/>
  <c r="AV14" i="9" s="1"/>
  <c r="AW14" i="9" s="1"/>
  <c r="AX14" i="9" s="1"/>
  <c r="AY14" i="9" s="1"/>
  <c r="AZ14" i="9" s="1"/>
  <c r="N46" i="9"/>
  <c r="O46" i="9" s="1"/>
  <c r="P46" i="9" s="1"/>
  <c r="Q46" i="9" s="1"/>
  <c r="R46" i="9" s="1"/>
  <c r="S46" i="9" s="1"/>
  <c r="T46" i="9" s="1"/>
  <c r="U46" i="9" s="1"/>
  <c r="V46" i="9" s="1"/>
  <c r="W46" i="9" s="1"/>
  <c r="X46" i="9" s="1"/>
  <c r="Y46" i="9" s="1"/>
  <c r="Z46" i="9" s="1"/>
  <c r="AA46" i="9" s="1"/>
  <c r="AB46" i="9" s="1"/>
  <c r="AC46" i="9" s="1"/>
  <c r="AD46" i="9" s="1"/>
  <c r="AE46" i="9" s="1"/>
  <c r="AF46" i="9" s="1"/>
  <c r="AG46" i="9" s="1"/>
  <c r="AH46" i="9" s="1"/>
  <c r="AI46" i="9" s="1"/>
  <c r="AJ46" i="9" s="1"/>
  <c r="AK46" i="9" s="1"/>
  <c r="AL46" i="9" s="1"/>
  <c r="AM46" i="9" s="1"/>
  <c r="AN46" i="9" s="1"/>
  <c r="AO46" i="9" s="1"/>
  <c r="AP46" i="9" s="1"/>
  <c r="AQ46" i="9" s="1"/>
  <c r="AR46" i="9" s="1"/>
  <c r="AS46" i="9" s="1"/>
  <c r="AT46" i="9" s="1"/>
  <c r="AU46" i="9" s="1"/>
  <c r="AV46" i="9" s="1"/>
  <c r="AW46" i="9" s="1"/>
  <c r="AX46" i="9" s="1"/>
  <c r="AY46" i="9" s="1"/>
  <c r="AZ46" i="9" s="1"/>
  <c r="M27" i="9"/>
  <c r="N6" i="9"/>
  <c r="N39" i="9"/>
  <c r="O39" i="9" s="1"/>
  <c r="P39" i="9" s="1"/>
  <c r="Q39" i="9" s="1"/>
  <c r="R39" i="9" s="1"/>
  <c r="S39" i="9" s="1"/>
  <c r="T39" i="9" s="1"/>
  <c r="U39" i="9" s="1"/>
  <c r="V39" i="9" s="1"/>
  <c r="W39" i="9" s="1"/>
  <c r="X39" i="9" s="1"/>
  <c r="Y39" i="9" s="1"/>
  <c r="Z39" i="9" s="1"/>
  <c r="AA39" i="9" s="1"/>
  <c r="AB39" i="9" s="1"/>
  <c r="AC39" i="9" s="1"/>
  <c r="AD39" i="9" s="1"/>
  <c r="AE39" i="9" s="1"/>
  <c r="AF39" i="9" s="1"/>
  <c r="AG39" i="9" s="1"/>
  <c r="AH39" i="9" s="1"/>
  <c r="AI39" i="9" s="1"/>
  <c r="AJ39" i="9" s="1"/>
  <c r="AK39" i="9" s="1"/>
  <c r="AL39" i="9" s="1"/>
  <c r="AM39" i="9" s="1"/>
  <c r="AN39" i="9" s="1"/>
  <c r="AO39" i="9" s="1"/>
  <c r="AP39" i="9" s="1"/>
  <c r="AQ39" i="9" s="1"/>
  <c r="AR39" i="9" s="1"/>
  <c r="AS39" i="9" s="1"/>
  <c r="AT39" i="9" s="1"/>
  <c r="AU39" i="9" s="1"/>
  <c r="AV39" i="9" s="1"/>
  <c r="AW39" i="9" s="1"/>
  <c r="AX39" i="9" s="1"/>
  <c r="AY39" i="9" s="1"/>
  <c r="AZ39" i="9" s="1"/>
  <c r="N42" i="9"/>
  <c r="O42" i="9" s="1"/>
  <c r="P42" i="9" s="1"/>
  <c r="Q42" i="9" s="1"/>
  <c r="R42" i="9" s="1"/>
  <c r="S42" i="9" s="1"/>
  <c r="T42" i="9" s="1"/>
  <c r="U42" i="9" s="1"/>
  <c r="V42" i="9" s="1"/>
  <c r="W42" i="9" s="1"/>
  <c r="X42" i="9" s="1"/>
  <c r="Y42" i="9" s="1"/>
  <c r="Z42" i="9" s="1"/>
  <c r="AA42" i="9" s="1"/>
  <c r="AB42" i="9" s="1"/>
  <c r="AC42" i="9" s="1"/>
  <c r="AD42" i="9" s="1"/>
  <c r="AE42" i="9" s="1"/>
  <c r="AF42" i="9" s="1"/>
  <c r="AG42" i="9" s="1"/>
  <c r="AH42" i="9" s="1"/>
  <c r="AI42" i="9" s="1"/>
  <c r="AJ42" i="9" s="1"/>
  <c r="AK42" i="9" s="1"/>
  <c r="AL42" i="9" s="1"/>
  <c r="AM42" i="9" s="1"/>
  <c r="AN42" i="9" s="1"/>
  <c r="AO42" i="9" s="1"/>
  <c r="AP42" i="9" s="1"/>
  <c r="AQ42" i="9" s="1"/>
  <c r="AR42" i="9" s="1"/>
  <c r="AS42" i="9" s="1"/>
  <c r="AT42" i="9" s="1"/>
  <c r="AU42" i="9" s="1"/>
  <c r="AV42" i="9" s="1"/>
  <c r="AW42" i="9" s="1"/>
  <c r="AX42" i="9" s="1"/>
  <c r="AY42" i="9" s="1"/>
  <c r="AZ42" i="9" s="1"/>
  <c r="N31" i="9"/>
  <c r="O31" i="9" s="1"/>
  <c r="P31" i="9" s="1"/>
  <c r="Q31" i="9" s="1"/>
  <c r="R31" i="9" s="1"/>
  <c r="S31" i="9" s="1"/>
  <c r="T31" i="9" s="1"/>
  <c r="U31" i="9" s="1"/>
  <c r="V31" i="9" s="1"/>
  <c r="W31" i="9" s="1"/>
  <c r="X31" i="9" s="1"/>
  <c r="Y31" i="9" s="1"/>
  <c r="Z31" i="9" s="1"/>
  <c r="AA31" i="9" s="1"/>
  <c r="AB31" i="9" s="1"/>
  <c r="AC31" i="9" s="1"/>
  <c r="AD31" i="9" s="1"/>
  <c r="AE31" i="9" s="1"/>
  <c r="AF31" i="9" s="1"/>
  <c r="AG31" i="9" s="1"/>
  <c r="AH31" i="9" s="1"/>
  <c r="AI31" i="9" s="1"/>
  <c r="AJ31" i="9" s="1"/>
  <c r="AK31" i="9" s="1"/>
  <c r="AL31" i="9" s="1"/>
  <c r="AM31" i="9" s="1"/>
  <c r="AN31" i="9" s="1"/>
  <c r="AO31" i="9" s="1"/>
  <c r="AP31" i="9" s="1"/>
  <c r="AQ31" i="9" s="1"/>
  <c r="AR31" i="9" s="1"/>
  <c r="AS31" i="9" s="1"/>
  <c r="AT31" i="9" s="1"/>
  <c r="AU31" i="9" s="1"/>
  <c r="AV31" i="9" s="1"/>
  <c r="AW31" i="9" s="1"/>
  <c r="AX31" i="9" s="1"/>
  <c r="AY31" i="9" s="1"/>
  <c r="AZ31" i="9" s="1"/>
  <c r="N19" i="9"/>
  <c r="O19" i="9" s="1"/>
  <c r="P19" i="9" s="1"/>
  <c r="Q19" i="9" s="1"/>
  <c r="R19" i="9" s="1"/>
  <c r="S19" i="9" s="1"/>
  <c r="T19" i="9" s="1"/>
  <c r="U19" i="9" s="1"/>
  <c r="V19" i="9" s="1"/>
  <c r="W19" i="9" s="1"/>
  <c r="X19" i="9" s="1"/>
  <c r="Y19" i="9" s="1"/>
  <c r="Z19" i="9" s="1"/>
  <c r="AA19" i="9" s="1"/>
  <c r="AB19" i="9" s="1"/>
  <c r="AC19" i="9" s="1"/>
  <c r="AD19" i="9" s="1"/>
  <c r="AE19" i="9" s="1"/>
  <c r="AF19" i="9" s="1"/>
  <c r="AG19" i="9" s="1"/>
  <c r="AH19" i="9" s="1"/>
  <c r="AI19" i="9" s="1"/>
  <c r="AJ19" i="9" s="1"/>
  <c r="AK19" i="9" s="1"/>
  <c r="AL19" i="9" s="1"/>
  <c r="AM19" i="9" s="1"/>
  <c r="AN19" i="9" s="1"/>
  <c r="AO19" i="9" s="1"/>
  <c r="AP19" i="9" s="1"/>
  <c r="AQ19" i="9" s="1"/>
  <c r="AR19" i="9" s="1"/>
  <c r="AS19" i="9" s="1"/>
  <c r="AT19" i="9" s="1"/>
  <c r="AU19" i="9" s="1"/>
  <c r="AV19" i="9" s="1"/>
  <c r="AW19" i="9" s="1"/>
  <c r="AX19" i="9" s="1"/>
  <c r="AY19" i="9" s="1"/>
  <c r="AZ19" i="9" s="1"/>
  <c r="N23" i="9"/>
  <c r="O23" i="9" s="1"/>
  <c r="P23" i="9" s="1"/>
  <c r="Q23" i="9" s="1"/>
  <c r="R23" i="9" s="1"/>
  <c r="S23" i="9" s="1"/>
  <c r="T23" i="9" s="1"/>
  <c r="U23" i="9" s="1"/>
  <c r="V23" i="9" s="1"/>
  <c r="W23" i="9" s="1"/>
  <c r="X23" i="9" s="1"/>
  <c r="Y23" i="9" s="1"/>
  <c r="Z23" i="9" s="1"/>
  <c r="AA23" i="9" s="1"/>
  <c r="AB23" i="9" s="1"/>
  <c r="AC23" i="9" s="1"/>
  <c r="AD23" i="9" s="1"/>
  <c r="AE23" i="9" s="1"/>
  <c r="AF23" i="9" s="1"/>
  <c r="AG23" i="9" s="1"/>
  <c r="AH23" i="9" s="1"/>
  <c r="AI23" i="9" s="1"/>
  <c r="AJ23" i="9" s="1"/>
  <c r="AK23" i="9" s="1"/>
  <c r="AL23" i="9" s="1"/>
  <c r="AM23" i="9" s="1"/>
  <c r="AN23" i="9" s="1"/>
  <c r="AO23" i="9" s="1"/>
  <c r="AP23" i="9" s="1"/>
  <c r="AQ23" i="9" s="1"/>
  <c r="AR23" i="9" s="1"/>
  <c r="AS23" i="9" s="1"/>
  <c r="AT23" i="9" s="1"/>
  <c r="AU23" i="9" s="1"/>
  <c r="AV23" i="9" s="1"/>
  <c r="AW23" i="9" s="1"/>
  <c r="AX23" i="9" s="1"/>
  <c r="AY23" i="9" s="1"/>
  <c r="AZ23" i="9" s="1"/>
  <c r="N37" i="9"/>
  <c r="O37" i="9" s="1"/>
  <c r="P37" i="9" s="1"/>
  <c r="Q37" i="9" s="1"/>
  <c r="R37" i="9" s="1"/>
  <c r="S37" i="9" s="1"/>
  <c r="T37" i="9" s="1"/>
  <c r="U37" i="9" s="1"/>
  <c r="V37" i="9" s="1"/>
  <c r="W37" i="9" s="1"/>
  <c r="X37" i="9" s="1"/>
  <c r="Y37" i="9" s="1"/>
  <c r="Z37" i="9" s="1"/>
  <c r="AA37" i="9" s="1"/>
  <c r="AB37" i="9" s="1"/>
  <c r="AC37" i="9" s="1"/>
  <c r="AD37" i="9" s="1"/>
  <c r="AE37" i="9" s="1"/>
  <c r="AF37" i="9" s="1"/>
  <c r="AG37" i="9" s="1"/>
  <c r="AH37" i="9" s="1"/>
  <c r="AI37" i="9" s="1"/>
  <c r="AJ37" i="9" s="1"/>
  <c r="AK37" i="9" s="1"/>
  <c r="AL37" i="9" s="1"/>
  <c r="AM37" i="9" s="1"/>
  <c r="AN37" i="9" s="1"/>
  <c r="AO37" i="9" s="1"/>
  <c r="AP37" i="9" s="1"/>
  <c r="AQ37" i="9" s="1"/>
  <c r="AR37" i="9" s="1"/>
  <c r="AS37" i="9" s="1"/>
  <c r="AT37" i="9" s="1"/>
  <c r="AU37" i="9" s="1"/>
  <c r="AV37" i="9" s="1"/>
  <c r="AW37" i="9" s="1"/>
  <c r="AX37" i="9" s="1"/>
  <c r="AY37" i="9" s="1"/>
  <c r="AZ37" i="9" s="1"/>
  <c r="N15" i="9"/>
  <c r="O15" i="9" s="1"/>
  <c r="P15" i="9" s="1"/>
  <c r="Q15" i="9" s="1"/>
  <c r="R15" i="9" s="1"/>
  <c r="S15" i="9" s="1"/>
  <c r="T15" i="9" s="1"/>
  <c r="U15" i="9" s="1"/>
  <c r="V15" i="9" s="1"/>
  <c r="W15" i="9" s="1"/>
  <c r="X15" i="9" s="1"/>
  <c r="Y15" i="9" s="1"/>
  <c r="Z15" i="9" s="1"/>
  <c r="AA15" i="9" s="1"/>
  <c r="AB15" i="9" s="1"/>
  <c r="AC15" i="9" s="1"/>
  <c r="AD15" i="9" s="1"/>
  <c r="AE15" i="9" s="1"/>
  <c r="AF15" i="9" s="1"/>
  <c r="AG15" i="9" s="1"/>
  <c r="AH15" i="9" s="1"/>
  <c r="AI15" i="9" s="1"/>
  <c r="AJ15" i="9" s="1"/>
  <c r="AK15" i="9" s="1"/>
  <c r="AL15" i="9" s="1"/>
  <c r="AM15" i="9" s="1"/>
  <c r="AN15" i="9" s="1"/>
  <c r="AO15" i="9" s="1"/>
  <c r="AP15" i="9" s="1"/>
  <c r="AQ15" i="9" s="1"/>
  <c r="AR15" i="9" s="1"/>
  <c r="AS15" i="9" s="1"/>
  <c r="AT15" i="9" s="1"/>
  <c r="AU15" i="9" s="1"/>
  <c r="AV15" i="9" s="1"/>
  <c r="AW15" i="9" s="1"/>
  <c r="AX15" i="9" s="1"/>
  <c r="AY15" i="9" s="1"/>
  <c r="AZ15" i="9" s="1"/>
  <c r="N12" i="9"/>
  <c r="O12" i="9" s="1"/>
  <c r="P12" i="9" s="1"/>
  <c r="Q12" i="9" s="1"/>
  <c r="R12" i="9" s="1"/>
  <c r="S12" i="9" s="1"/>
  <c r="T12" i="9" s="1"/>
  <c r="U12" i="9" s="1"/>
  <c r="V12" i="9" s="1"/>
  <c r="W12" i="9" s="1"/>
  <c r="X12" i="9" s="1"/>
  <c r="Y12" i="9" s="1"/>
  <c r="Z12" i="9" s="1"/>
  <c r="AA12" i="9" s="1"/>
  <c r="AB12" i="9" s="1"/>
  <c r="AC12" i="9" s="1"/>
  <c r="AD12" i="9" s="1"/>
  <c r="AE12" i="9" s="1"/>
  <c r="AF12" i="9" s="1"/>
  <c r="AG12" i="9" s="1"/>
  <c r="AH12" i="9" s="1"/>
  <c r="AI12" i="9" s="1"/>
  <c r="AJ12" i="9" s="1"/>
  <c r="AK12" i="9" s="1"/>
  <c r="AL12" i="9" s="1"/>
  <c r="AM12" i="9" s="1"/>
  <c r="AN12" i="9" s="1"/>
  <c r="AO12" i="9" s="1"/>
  <c r="AP12" i="9" s="1"/>
  <c r="AQ12" i="9" s="1"/>
  <c r="AR12" i="9" s="1"/>
  <c r="AS12" i="9" s="1"/>
  <c r="AT12" i="9" s="1"/>
  <c r="AU12" i="9" s="1"/>
  <c r="AV12" i="9" s="1"/>
  <c r="AW12" i="9" s="1"/>
  <c r="AX12" i="9" s="1"/>
  <c r="AY12" i="9" s="1"/>
  <c r="AZ12" i="9" s="1"/>
  <c r="N48" i="9"/>
  <c r="O48" i="9" s="1"/>
  <c r="P48" i="9" s="1"/>
  <c r="Q48" i="9" s="1"/>
  <c r="R48" i="9" s="1"/>
  <c r="S48" i="9" s="1"/>
  <c r="T48" i="9" s="1"/>
  <c r="U48" i="9" s="1"/>
  <c r="V48" i="9" s="1"/>
  <c r="W48" i="9" s="1"/>
  <c r="X48" i="9" s="1"/>
  <c r="Y48" i="9" s="1"/>
  <c r="Z48" i="9" s="1"/>
  <c r="AA48" i="9" s="1"/>
  <c r="AB48" i="9" s="1"/>
  <c r="AC48" i="9" s="1"/>
  <c r="AD48" i="9" s="1"/>
  <c r="AE48" i="9" s="1"/>
  <c r="AF48" i="9" s="1"/>
  <c r="AG48" i="9" s="1"/>
  <c r="AH48" i="9" s="1"/>
  <c r="AI48" i="9" s="1"/>
  <c r="AJ48" i="9" s="1"/>
  <c r="AK48" i="9" s="1"/>
  <c r="AL48" i="9" s="1"/>
  <c r="AM48" i="9" s="1"/>
  <c r="AN48" i="9" s="1"/>
  <c r="AO48" i="9" s="1"/>
  <c r="AP48" i="9" s="1"/>
  <c r="AQ48" i="9" s="1"/>
  <c r="AR48" i="9" s="1"/>
  <c r="AS48" i="9" s="1"/>
  <c r="AT48" i="9" s="1"/>
  <c r="AU48" i="9" s="1"/>
  <c r="AV48" i="9" s="1"/>
  <c r="AW48" i="9" s="1"/>
  <c r="AX48" i="9" s="1"/>
  <c r="AY48" i="9" s="1"/>
  <c r="AZ48" i="9" s="1"/>
  <c r="N8" i="9"/>
  <c r="O8" i="9" s="1"/>
  <c r="P8" i="9" s="1"/>
  <c r="Q8" i="9" s="1"/>
  <c r="R8" i="9" s="1"/>
  <c r="S8" i="9" s="1"/>
  <c r="T8" i="9" s="1"/>
  <c r="U8" i="9" s="1"/>
  <c r="V8" i="9" s="1"/>
  <c r="W8" i="9" s="1"/>
  <c r="X8" i="9" s="1"/>
  <c r="Y8" i="9" s="1"/>
  <c r="Z8" i="9" s="1"/>
  <c r="AA8" i="9" s="1"/>
  <c r="AB8" i="9" s="1"/>
  <c r="AC8" i="9" s="1"/>
  <c r="AD8" i="9" s="1"/>
  <c r="AE8" i="9" s="1"/>
  <c r="AF8" i="9" s="1"/>
  <c r="AG8" i="9" s="1"/>
  <c r="AH8" i="9" s="1"/>
  <c r="AI8" i="9" s="1"/>
  <c r="AJ8" i="9" s="1"/>
  <c r="AK8" i="9" s="1"/>
  <c r="AL8" i="9" s="1"/>
  <c r="AM8" i="9" s="1"/>
  <c r="AN8" i="9" s="1"/>
  <c r="AO8" i="9" s="1"/>
  <c r="AP8" i="9" s="1"/>
  <c r="AQ8" i="9" s="1"/>
  <c r="AR8" i="9" s="1"/>
  <c r="AS8" i="9" s="1"/>
  <c r="AT8" i="9" s="1"/>
  <c r="AU8" i="9" s="1"/>
  <c r="AV8" i="9" s="1"/>
  <c r="AW8" i="9" s="1"/>
  <c r="AX8" i="9" s="1"/>
  <c r="AY8" i="9" s="1"/>
  <c r="AZ8" i="9" s="1"/>
  <c r="N40" i="9"/>
  <c r="O40" i="9" s="1"/>
  <c r="P40" i="9" s="1"/>
  <c r="Q40" i="9" s="1"/>
  <c r="R40" i="9" s="1"/>
  <c r="S40" i="9" s="1"/>
  <c r="T40" i="9" s="1"/>
  <c r="U40" i="9" s="1"/>
  <c r="V40" i="9" s="1"/>
  <c r="W40" i="9" s="1"/>
  <c r="X40" i="9" s="1"/>
  <c r="Y40" i="9" s="1"/>
  <c r="Z40" i="9" s="1"/>
  <c r="AA40" i="9" s="1"/>
  <c r="AB40" i="9" s="1"/>
  <c r="AC40" i="9" s="1"/>
  <c r="AD40" i="9" s="1"/>
  <c r="AE40" i="9" s="1"/>
  <c r="AF40" i="9" s="1"/>
  <c r="AG40" i="9" s="1"/>
  <c r="AH40" i="9" s="1"/>
  <c r="AI40" i="9" s="1"/>
  <c r="AJ40" i="9" s="1"/>
  <c r="AK40" i="9" s="1"/>
  <c r="AL40" i="9" s="1"/>
  <c r="AM40" i="9" s="1"/>
  <c r="AN40" i="9" s="1"/>
  <c r="AO40" i="9" s="1"/>
  <c r="AP40" i="9" s="1"/>
  <c r="AQ40" i="9" s="1"/>
  <c r="AR40" i="9" s="1"/>
  <c r="AS40" i="9" s="1"/>
  <c r="AT40" i="9" s="1"/>
  <c r="AU40" i="9" s="1"/>
  <c r="AV40" i="9" s="1"/>
  <c r="AW40" i="9" s="1"/>
  <c r="AX40" i="9" s="1"/>
  <c r="AY40" i="9" s="1"/>
  <c r="AZ40" i="9" s="1"/>
  <c r="N33" i="9"/>
  <c r="O33" i="9" s="1"/>
  <c r="P33" i="9" s="1"/>
  <c r="Q33" i="9" s="1"/>
  <c r="R33" i="9" s="1"/>
  <c r="S33" i="9" s="1"/>
  <c r="T33" i="9" s="1"/>
  <c r="U33" i="9" s="1"/>
  <c r="V33" i="9" s="1"/>
  <c r="W33" i="9" s="1"/>
  <c r="X33" i="9" s="1"/>
  <c r="Y33" i="9" s="1"/>
  <c r="Z33" i="9" s="1"/>
  <c r="AA33" i="9" s="1"/>
  <c r="AB33" i="9" s="1"/>
  <c r="AC33" i="9" s="1"/>
  <c r="AD33" i="9" s="1"/>
  <c r="AE33" i="9" s="1"/>
  <c r="AF33" i="9" s="1"/>
  <c r="AG33" i="9" s="1"/>
  <c r="AH33" i="9" s="1"/>
  <c r="AI33" i="9" s="1"/>
  <c r="AJ33" i="9" s="1"/>
  <c r="AK33" i="9" s="1"/>
  <c r="AL33" i="9" s="1"/>
  <c r="AM33" i="9" s="1"/>
  <c r="AN33" i="9" s="1"/>
  <c r="AO33" i="9" s="1"/>
  <c r="AP33" i="9" s="1"/>
  <c r="AQ33" i="9" s="1"/>
  <c r="AR33" i="9" s="1"/>
  <c r="AS33" i="9" s="1"/>
  <c r="AT33" i="9" s="1"/>
  <c r="AU33" i="9" s="1"/>
  <c r="AV33" i="9" s="1"/>
  <c r="AW33" i="9" s="1"/>
  <c r="AX33" i="9" s="1"/>
  <c r="AY33" i="9" s="1"/>
  <c r="AZ33" i="9" s="1"/>
  <c r="N29" i="9"/>
  <c r="M50" i="9"/>
  <c r="M58" i="9" s="1"/>
  <c r="M59" i="9" s="1"/>
  <c r="N16" i="9"/>
  <c r="O16" i="9" s="1"/>
  <c r="P16" i="9" s="1"/>
  <c r="Q16" i="9" s="1"/>
  <c r="R16" i="9" s="1"/>
  <c r="S16" i="9" s="1"/>
  <c r="T16" i="9" s="1"/>
  <c r="U16" i="9" s="1"/>
  <c r="V16" i="9" s="1"/>
  <c r="W16" i="9" s="1"/>
  <c r="X16" i="9" s="1"/>
  <c r="Y16" i="9" s="1"/>
  <c r="Z16" i="9" s="1"/>
  <c r="AA16" i="9" s="1"/>
  <c r="AB16" i="9" s="1"/>
  <c r="AC16" i="9" s="1"/>
  <c r="AD16" i="9" s="1"/>
  <c r="AE16" i="9" s="1"/>
  <c r="AF16" i="9" s="1"/>
  <c r="AG16" i="9" s="1"/>
  <c r="AH16" i="9" s="1"/>
  <c r="AI16" i="9" s="1"/>
  <c r="AJ16" i="9" s="1"/>
  <c r="AK16" i="9" s="1"/>
  <c r="AL16" i="9" s="1"/>
  <c r="AM16" i="9" s="1"/>
  <c r="AN16" i="9" s="1"/>
  <c r="AO16" i="9" s="1"/>
  <c r="AP16" i="9" s="1"/>
  <c r="AQ16" i="9" s="1"/>
  <c r="AR16" i="9" s="1"/>
  <c r="AS16" i="9" s="1"/>
  <c r="AT16" i="9" s="1"/>
  <c r="AU16" i="9" s="1"/>
  <c r="AV16" i="9" s="1"/>
  <c r="AW16" i="9" s="1"/>
  <c r="AX16" i="9" s="1"/>
  <c r="AY16" i="9" s="1"/>
  <c r="AZ16" i="9" s="1"/>
  <c r="N21" i="9"/>
  <c r="O21" i="9" s="1"/>
  <c r="P21" i="9" s="1"/>
  <c r="Q21" i="9" s="1"/>
  <c r="R21" i="9" s="1"/>
  <c r="S21" i="9" s="1"/>
  <c r="T21" i="9" s="1"/>
  <c r="U21" i="9" s="1"/>
  <c r="V21" i="9" s="1"/>
  <c r="W21" i="9" s="1"/>
  <c r="X21" i="9" s="1"/>
  <c r="Y21" i="9" s="1"/>
  <c r="Z21" i="9" s="1"/>
  <c r="AA21" i="9" s="1"/>
  <c r="AB21" i="9" s="1"/>
  <c r="AC21" i="9" s="1"/>
  <c r="AD21" i="9" s="1"/>
  <c r="AE21" i="9" s="1"/>
  <c r="AF21" i="9" s="1"/>
  <c r="AG21" i="9" s="1"/>
  <c r="AH21" i="9" s="1"/>
  <c r="AI21" i="9" s="1"/>
  <c r="AJ21" i="9" s="1"/>
  <c r="AK21" i="9" s="1"/>
  <c r="AL21" i="9" s="1"/>
  <c r="AM21" i="9" s="1"/>
  <c r="AN21" i="9" s="1"/>
  <c r="AO21" i="9" s="1"/>
  <c r="AP21" i="9" s="1"/>
  <c r="AQ21" i="9" s="1"/>
  <c r="AR21" i="9" s="1"/>
  <c r="AS21" i="9" s="1"/>
  <c r="AT21" i="9" s="1"/>
  <c r="AU21" i="9" s="1"/>
  <c r="AV21" i="9" s="1"/>
  <c r="AW21" i="9" s="1"/>
  <c r="AX21" i="9" s="1"/>
  <c r="AY21" i="9" s="1"/>
  <c r="AZ21" i="9" s="1"/>
  <c r="N35" i="9"/>
  <c r="O35" i="9" s="1"/>
  <c r="P35" i="9" s="1"/>
  <c r="Q35" i="9" s="1"/>
  <c r="R35" i="9" s="1"/>
  <c r="S35" i="9" s="1"/>
  <c r="T35" i="9" s="1"/>
  <c r="U35" i="9" s="1"/>
  <c r="V35" i="9" s="1"/>
  <c r="W35" i="9" s="1"/>
  <c r="X35" i="9" s="1"/>
  <c r="Y35" i="9" s="1"/>
  <c r="Z35" i="9" s="1"/>
  <c r="AA35" i="9" s="1"/>
  <c r="AB35" i="9" s="1"/>
  <c r="AC35" i="9" s="1"/>
  <c r="AD35" i="9" s="1"/>
  <c r="AE35" i="9" s="1"/>
  <c r="AF35" i="9" s="1"/>
  <c r="AG35" i="9" s="1"/>
  <c r="AH35" i="9" s="1"/>
  <c r="AI35" i="9" s="1"/>
  <c r="AJ35" i="9" s="1"/>
  <c r="AK35" i="9" s="1"/>
  <c r="AL35" i="9" s="1"/>
  <c r="AM35" i="9" s="1"/>
  <c r="AN35" i="9" s="1"/>
  <c r="AO35" i="9" s="1"/>
  <c r="AP35" i="9" s="1"/>
  <c r="AQ35" i="9" s="1"/>
  <c r="AR35" i="9" s="1"/>
  <c r="AS35" i="9" s="1"/>
  <c r="AT35" i="9" s="1"/>
  <c r="AU35" i="9" s="1"/>
  <c r="AV35" i="9" s="1"/>
  <c r="AW35" i="9" s="1"/>
  <c r="AX35" i="9" s="1"/>
  <c r="AY35" i="9" s="1"/>
  <c r="AZ35" i="9" s="1"/>
  <c r="N13" i="9"/>
  <c r="O13" i="9" s="1"/>
  <c r="P13" i="9" s="1"/>
  <c r="Q13" i="9" s="1"/>
  <c r="R13" i="9" s="1"/>
  <c r="S13" i="9" s="1"/>
  <c r="T13" i="9" s="1"/>
  <c r="U13" i="9" s="1"/>
  <c r="V13" i="9" s="1"/>
  <c r="W13" i="9" s="1"/>
  <c r="X13" i="9" s="1"/>
  <c r="Y13" i="9" s="1"/>
  <c r="Z13" i="9" s="1"/>
  <c r="AA13" i="9" s="1"/>
  <c r="AB13" i="9" s="1"/>
  <c r="AC13" i="9" s="1"/>
  <c r="AD13" i="9" s="1"/>
  <c r="AE13" i="9" s="1"/>
  <c r="AF13" i="9" s="1"/>
  <c r="AG13" i="9" s="1"/>
  <c r="AH13" i="9" s="1"/>
  <c r="AI13" i="9" s="1"/>
  <c r="AJ13" i="9" s="1"/>
  <c r="AK13" i="9" s="1"/>
  <c r="AL13" i="9" s="1"/>
  <c r="AM13" i="9" s="1"/>
  <c r="AN13" i="9" s="1"/>
  <c r="AO13" i="9" s="1"/>
  <c r="AP13" i="9" s="1"/>
  <c r="AQ13" i="9" s="1"/>
  <c r="AR13" i="9" s="1"/>
  <c r="AS13" i="9" s="1"/>
  <c r="AT13" i="9" s="1"/>
  <c r="AU13" i="9" s="1"/>
  <c r="AV13" i="9" s="1"/>
  <c r="AW13" i="9" s="1"/>
  <c r="AX13" i="9" s="1"/>
  <c r="AY13" i="9" s="1"/>
  <c r="AZ13" i="9" s="1"/>
  <c r="N47" i="9"/>
  <c r="O47" i="9" s="1"/>
  <c r="P47" i="9" s="1"/>
  <c r="Q47" i="9" s="1"/>
  <c r="R47" i="9" s="1"/>
  <c r="S47" i="9" s="1"/>
  <c r="T47" i="9" s="1"/>
  <c r="U47" i="9" s="1"/>
  <c r="V47" i="9" s="1"/>
  <c r="W47" i="9" s="1"/>
  <c r="X47" i="9" s="1"/>
  <c r="Y47" i="9" s="1"/>
  <c r="Z47" i="9" s="1"/>
  <c r="AA47" i="9" s="1"/>
  <c r="AB47" i="9" s="1"/>
  <c r="AC47" i="9" s="1"/>
  <c r="AD47" i="9" s="1"/>
  <c r="AE47" i="9" s="1"/>
  <c r="AF47" i="9" s="1"/>
  <c r="AG47" i="9" s="1"/>
  <c r="AH47" i="9" s="1"/>
  <c r="AI47" i="9" s="1"/>
  <c r="AJ47" i="9" s="1"/>
  <c r="AK47" i="9" s="1"/>
  <c r="AL47" i="9" s="1"/>
  <c r="AM47" i="9" s="1"/>
  <c r="AN47" i="9" s="1"/>
  <c r="AO47" i="9" s="1"/>
  <c r="AP47" i="9" s="1"/>
  <c r="AQ47" i="9" s="1"/>
  <c r="AR47" i="9" s="1"/>
  <c r="AS47" i="9" s="1"/>
  <c r="AT47" i="9" s="1"/>
  <c r="AU47" i="9" s="1"/>
  <c r="AV47" i="9" s="1"/>
  <c r="AW47" i="9" s="1"/>
  <c r="AX47" i="9" s="1"/>
  <c r="AY47" i="9" s="1"/>
  <c r="AZ47" i="9" s="1"/>
  <c r="N45" i="9"/>
  <c r="O45" i="9" s="1"/>
  <c r="P45" i="9" s="1"/>
  <c r="Q45" i="9" s="1"/>
  <c r="R45" i="9" s="1"/>
  <c r="S45" i="9" s="1"/>
  <c r="T45" i="9" s="1"/>
  <c r="U45" i="9" s="1"/>
  <c r="V45" i="9" s="1"/>
  <c r="W45" i="9" s="1"/>
  <c r="X45" i="9" s="1"/>
  <c r="Y45" i="9" s="1"/>
  <c r="Z45" i="9" s="1"/>
  <c r="AA45" i="9" s="1"/>
  <c r="AB45" i="9" s="1"/>
  <c r="AC45" i="9" s="1"/>
  <c r="AD45" i="9" s="1"/>
  <c r="AE45" i="9" s="1"/>
  <c r="AF45" i="9" s="1"/>
  <c r="AG45" i="9" s="1"/>
  <c r="AH45" i="9" s="1"/>
  <c r="AI45" i="9" s="1"/>
  <c r="AJ45" i="9" s="1"/>
  <c r="AK45" i="9" s="1"/>
  <c r="AL45" i="9" s="1"/>
  <c r="AM45" i="9" s="1"/>
  <c r="AN45" i="9" s="1"/>
  <c r="AO45" i="9" s="1"/>
  <c r="AP45" i="9" s="1"/>
  <c r="AQ45" i="9" s="1"/>
  <c r="AR45" i="9" s="1"/>
  <c r="AS45" i="9" s="1"/>
  <c r="AT45" i="9" s="1"/>
  <c r="AU45" i="9" s="1"/>
  <c r="AV45" i="9" s="1"/>
  <c r="AW45" i="9" s="1"/>
  <c r="AX45" i="9" s="1"/>
  <c r="AY45" i="9" s="1"/>
  <c r="AZ45" i="9" s="1"/>
  <c r="N10" i="9"/>
  <c r="O10" i="9" s="1"/>
  <c r="P10" i="9" s="1"/>
  <c r="Q10" i="9" s="1"/>
  <c r="R10" i="9" s="1"/>
  <c r="S10" i="9" s="1"/>
  <c r="T10" i="9" s="1"/>
  <c r="U10" i="9" s="1"/>
  <c r="V10" i="9" s="1"/>
  <c r="W10" i="9" s="1"/>
  <c r="X10" i="9" s="1"/>
  <c r="Y10" i="9" s="1"/>
  <c r="Z10" i="9" s="1"/>
  <c r="AA10" i="9" s="1"/>
  <c r="AB10" i="9" s="1"/>
  <c r="AC10" i="9" s="1"/>
  <c r="AD10" i="9" s="1"/>
  <c r="AE10" i="9" s="1"/>
  <c r="AF10" i="9" s="1"/>
  <c r="AG10" i="9" s="1"/>
  <c r="AH10" i="9" s="1"/>
  <c r="AI10" i="9" s="1"/>
  <c r="AJ10" i="9" s="1"/>
  <c r="AK10" i="9" s="1"/>
  <c r="AL10" i="9" s="1"/>
  <c r="AM10" i="9" s="1"/>
  <c r="AN10" i="9" s="1"/>
  <c r="AO10" i="9" s="1"/>
  <c r="AP10" i="9" s="1"/>
  <c r="AQ10" i="9" s="1"/>
  <c r="AR10" i="9" s="1"/>
  <c r="AS10" i="9" s="1"/>
  <c r="AT10" i="9" s="1"/>
  <c r="AU10" i="9" s="1"/>
  <c r="AV10" i="9" s="1"/>
  <c r="AW10" i="9" s="1"/>
  <c r="AX10" i="9" s="1"/>
  <c r="AY10" i="9" s="1"/>
  <c r="AZ10" i="9" s="1"/>
  <c r="N43" i="9"/>
  <c r="O43" i="9" s="1"/>
  <c r="P43" i="9" s="1"/>
  <c r="Q43" i="9" s="1"/>
  <c r="R43" i="9" s="1"/>
  <c r="S43" i="9" s="1"/>
  <c r="T43" i="9" s="1"/>
  <c r="U43" i="9" s="1"/>
  <c r="V43" i="9" s="1"/>
  <c r="W43" i="9" s="1"/>
  <c r="X43" i="9" s="1"/>
  <c r="Y43" i="9" s="1"/>
  <c r="Z43" i="9" s="1"/>
  <c r="AA43" i="9" s="1"/>
  <c r="AB43" i="9" s="1"/>
  <c r="AC43" i="9" s="1"/>
  <c r="AD43" i="9" s="1"/>
  <c r="AE43" i="9" s="1"/>
  <c r="AF43" i="9" s="1"/>
  <c r="AG43" i="9" s="1"/>
  <c r="AH43" i="9" s="1"/>
  <c r="AI43" i="9" s="1"/>
  <c r="AJ43" i="9" s="1"/>
  <c r="AK43" i="9" s="1"/>
  <c r="AL43" i="9" s="1"/>
  <c r="AM43" i="9" s="1"/>
  <c r="AN43" i="9" s="1"/>
  <c r="AO43" i="9" s="1"/>
  <c r="AP43" i="9" s="1"/>
  <c r="AQ43" i="9" s="1"/>
  <c r="AR43" i="9" s="1"/>
  <c r="AS43" i="9" s="1"/>
  <c r="AT43" i="9" s="1"/>
  <c r="AU43" i="9" s="1"/>
  <c r="AV43" i="9" s="1"/>
  <c r="AW43" i="9" s="1"/>
  <c r="AX43" i="9" s="1"/>
  <c r="AY43" i="9" s="1"/>
  <c r="AZ43" i="9" s="1"/>
  <c r="N30" i="9"/>
  <c r="O30" i="9" s="1"/>
  <c r="P30" i="9" s="1"/>
  <c r="Q30" i="9" s="1"/>
  <c r="R30" i="9" s="1"/>
  <c r="S30" i="9" s="1"/>
  <c r="T30" i="9" s="1"/>
  <c r="U30" i="9" s="1"/>
  <c r="V30" i="9" s="1"/>
  <c r="W30" i="9" s="1"/>
  <c r="X30" i="9" s="1"/>
  <c r="Y30" i="9" s="1"/>
  <c r="Z30" i="9" s="1"/>
  <c r="AA30" i="9" s="1"/>
  <c r="AB30" i="9" s="1"/>
  <c r="AC30" i="9" s="1"/>
  <c r="AD30" i="9" s="1"/>
  <c r="AE30" i="9" s="1"/>
  <c r="AF30" i="9" s="1"/>
  <c r="AG30" i="9" s="1"/>
  <c r="AH30" i="9" s="1"/>
  <c r="AI30" i="9" s="1"/>
  <c r="AJ30" i="9" s="1"/>
  <c r="AK30" i="9" s="1"/>
  <c r="AL30" i="9" s="1"/>
  <c r="AM30" i="9" s="1"/>
  <c r="AN30" i="9" s="1"/>
  <c r="AO30" i="9" s="1"/>
  <c r="AP30" i="9" s="1"/>
  <c r="AQ30" i="9" s="1"/>
  <c r="AR30" i="9" s="1"/>
  <c r="AS30" i="9" s="1"/>
  <c r="AT30" i="9" s="1"/>
  <c r="AU30" i="9" s="1"/>
  <c r="AV30" i="9" s="1"/>
  <c r="AW30" i="9" s="1"/>
  <c r="AX30" i="9" s="1"/>
  <c r="AY30" i="9" s="1"/>
  <c r="AZ30" i="9" s="1"/>
  <c r="N18" i="9"/>
  <c r="O18" i="9" s="1"/>
  <c r="P18" i="9" s="1"/>
  <c r="Q18" i="9" s="1"/>
  <c r="R18" i="9" s="1"/>
  <c r="S18" i="9" s="1"/>
  <c r="T18" i="9" s="1"/>
  <c r="U18" i="9" s="1"/>
  <c r="V18" i="9" s="1"/>
  <c r="W18" i="9" s="1"/>
  <c r="X18" i="9" s="1"/>
  <c r="Y18" i="9" s="1"/>
  <c r="Z18" i="9" s="1"/>
  <c r="AA18" i="9" s="1"/>
  <c r="AB18" i="9" s="1"/>
  <c r="AC18" i="9" s="1"/>
  <c r="AD18" i="9" s="1"/>
  <c r="AE18" i="9" s="1"/>
  <c r="AF18" i="9" s="1"/>
  <c r="AG18" i="9" s="1"/>
  <c r="AH18" i="9" s="1"/>
  <c r="AI18" i="9" s="1"/>
  <c r="AJ18" i="9" s="1"/>
  <c r="AK18" i="9" s="1"/>
  <c r="AL18" i="9" s="1"/>
  <c r="AM18" i="9" s="1"/>
  <c r="AN18" i="9" s="1"/>
  <c r="AO18" i="9" s="1"/>
  <c r="AP18" i="9" s="1"/>
  <c r="AQ18" i="9" s="1"/>
  <c r="AR18" i="9" s="1"/>
  <c r="AS18" i="9" s="1"/>
  <c r="AT18" i="9" s="1"/>
  <c r="AU18" i="9" s="1"/>
  <c r="AV18" i="9" s="1"/>
  <c r="AW18" i="9" s="1"/>
  <c r="AX18" i="9" s="1"/>
  <c r="AY18" i="9" s="1"/>
  <c r="AZ18" i="9" s="1"/>
  <c r="N17" i="9"/>
  <c r="O17" i="9" s="1"/>
  <c r="P17" i="9" s="1"/>
  <c r="Q17" i="9" s="1"/>
  <c r="R17" i="9" s="1"/>
  <c r="S17" i="9" s="1"/>
  <c r="T17" i="9" s="1"/>
  <c r="U17" i="9" s="1"/>
  <c r="V17" i="9" s="1"/>
  <c r="W17" i="9" s="1"/>
  <c r="X17" i="9" s="1"/>
  <c r="Y17" i="9" s="1"/>
  <c r="Z17" i="9" s="1"/>
  <c r="AA17" i="9" s="1"/>
  <c r="AB17" i="9" s="1"/>
  <c r="AC17" i="9" s="1"/>
  <c r="AD17" i="9" s="1"/>
  <c r="AE17" i="9" s="1"/>
  <c r="AF17" i="9" s="1"/>
  <c r="AG17" i="9" s="1"/>
  <c r="AH17" i="9" s="1"/>
  <c r="AI17" i="9" s="1"/>
  <c r="AJ17" i="9" s="1"/>
  <c r="AK17" i="9" s="1"/>
  <c r="AL17" i="9" s="1"/>
  <c r="AM17" i="9" s="1"/>
  <c r="AN17" i="9" s="1"/>
  <c r="AO17" i="9" s="1"/>
  <c r="AP17" i="9" s="1"/>
  <c r="AQ17" i="9" s="1"/>
  <c r="AR17" i="9" s="1"/>
  <c r="AS17" i="9" s="1"/>
  <c r="AT17" i="9" s="1"/>
  <c r="AU17" i="9" s="1"/>
  <c r="AV17" i="9" s="1"/>
  <c r="AW17" i="9" s="1"/>
  <c r="AX17" i="9" s="1"/>
  <c r="AY17" i="9" s="1"/>
  <c r="AZ17" i="9" s="1"/>
  <c r="N25" i="9"/>
  <c r="S58" i="8"/>
  <c r="N36" i="9"/>
  <c r="O36" i="9" s="1"/>
  <c r="P36" i="9" s="1"/>
  <c r="Q36" i="9" s="1"/>
  <c r="R36" i="9" s="1"/>
  <c r="S36" i="9" s="1"/>
  <c r="T36" i="9" s="1"/>
  <c r="U36" i="9" s="1"/>
  <c r="V36" i="9" s="1"/>
  <c r="W36" i="9" s="1"/>
  <c r="X36" i="9" s="1"/>
  <c r="Y36" i="9" s="1"/>
  <c r="Z36" i="9" s="1"/>
  <c r="AA36" i="9" s="1"/>
  <c r="AB36" i="9" s="1"/>
  <c r="AC36" i="9" s="1"/>
  <c r="AD36" i="9" s="1"/>
  <c r="AE36" i="9" s="1"/>
  <c r="AF36" i="9" s="1"/>
  <c r="AG36" i="9" s="1"/>
  <c r="AH36" i="9" s="1"/>
  <c r="AI36" i="9" s="1"/>
  <c r="AJ36" i="9" s="1"/>
  <c r="AK36" i="9" s="1"/>
  <c r="AL36" i="9" s="1"/>
  <c r="AM36" i="9" s="1"/>
  <c r="AN36" i="9" s="1"/>
  <c r="AO36" i="9" s="1"/>
  <c r="AP36" i="9" s="1"/>
  <c r="AQ36" i="9" s="1"/>
  <c r="AR36" i="9" s="1"/>
  <c r="AS36" i="9" s="1"/>
  <c r="AT36" i="9" s="1"/>
  <c r="AU36" i="9" s="1"/>
  <c r="AV36" i="9" s="1"/>
  <c r="AW36" i="9" s="1"/>
  <c r="AX36" i="9" s="1"/>
  <c r="AY36" i="9" s="1"/>
  <c r="AZ36" i="9" s="1"/>
  <c r="N11" i="9"/>
  <c r="N44" i="9"/>
  <c r="O44" i="9" s="1"/>
  <c r="P44" i="9" s="1"/>
  <c r="Q44" i="9" s="1"/>
  <c r="R44" i="9" s="1"/>
  <c r="S44" i="9" s="1"/>
  <c r="T44" i="9" s="1"/>
  <c r="U44" i="9" s="1"/>
  <c r="V44" i="9" s="1"/>
  <c r="W44" i="9" s="1"/>
  <c r="X44" i="9" s="1"/>
  <c r="Y44" i="9" s="1"/>
  <c r="Z44" i="9" s="1"/>
  <c r="AA44" i="9" s="1"/>
  <c r="AB44" i="9" s="1"/>
  <c r="AC44" i="9" s="1"/>
  <c r="AD44" i="9" s="1"/>
  <c r="AE44" i="9" s="1"/>
  <c r="AF44" i="9" s="1"/>
  <c r="AG44" i="9" s="1"/>
  <c r="AH44" i="9" s="1"/>
  <c r="AI44" i="9" s="1"/>
  <c r="AJ44" i="9" s="1"/>
  <c r="AK44" i="9" s="1"/>
  <c r="AL44" i="9" s="1"/>
  <c r="AM44" i="9" s="1"/>
  <c r="AN44" i="9" s="1"/>
  <c r="AO44" i="9" s="1"/>
  <c r="AP44" i="9" s="1"/>
  <c r="AQ44" i="9" s="1"/>
  <c r="AR44" i="9" s="1"/>
  <c r="AS44" i="9" s="1"/>
  <c r="AT44" i="9" s="1"/>
  <c r="AU44" i="9" s="1"/>
  <c r="AV44" i="9" s="1"/>
  <c r="AW44" i="9" s="1"/>
  <c r="AX44" i="9" s="1"/>
  <c r="AY44" i="9" s="1"/>
  <c r="AZ44" i="9" s="1"/>
  <c r="N9" i="9"/>
  <c r="O9" i="9" s="1"/>
  <c r="P9" i="9" s="1"/>
  <c r="Q9" i="9" s="1"/>
  <c r="R9" i="9" s="1"/>
  <c r="S9" i="9" s="1"/>
  <c r="T9" i="9" s="1"/>
  <c r="U9" i="9" s="1"/>
  <c r="V9" i="9" s="1"/>
  <c r="W9" i="9" s="1"/>
  <c r="X9" i="9" s="1"/>
  <c r="Y9" i="9" s="1"/>
  <c r="Z9" i="9" s="1"/>
  <c r="AA9" i="9" s="1"/>
  <c r="AB9" i="9" s="1"/>
  <c r="AC9" i="9" s="1"/>
  <c r="AD9" i="9" s="1"/>
  <c r="AE9" i="9" s="1"/>
  <c r="AF9" i="9" s="1"/>
  <c r="AG9" i="9" s="1"/>
  <c r="AH9" i="9" s="1"/>
  <c r="AI9" i="9" s="1"/>
  <c r="AJ9" i="9" s="1"/>
  <c r="AK9" i="9" s="1"/>
  <c r="AL9" i="9" s="1"/>
  <c r="AM9" i="9" s="1"/>
  <c r="AN9" i="9" s="1"/>
  <c r="AO9" i="9" s="1"/>
  <c r="AP9" i="9" s="1"/>
  <c r="AQ9" i="9" s="1"/>
  <c r="AR9" i="9" s="1"/>
  <c r="AS9" i="9" s="1"/>
  <c r="AT9" i="9" s="1"/>
  <c r="AU9" i="9" s="1"/>
  <c r="AV9" i="9" s="1"/>
  <c r="AW9" i="9" s="1"/>
  <c r="AX9" i="9" s="1"/>
  <c r="AY9" i="9" s="1"/>
  <c r="AZ9" i="9" s="1"/>
  <c r="N7" i="9"/>
  <c r="O7" i="9" s="1"/>
  <c r="P7" i="9" s="1"/>
  <c r="Q7" i="9" s="1"/>
  <c r="R7" i="9" s="1"/>
  <c r="S7" i="9" s="1"/>
  <c r="T7" i="9" s="1"/>
  <c r="U7" i="9" s="1"/>
  <c r="V7" i="9" s="1"/>
  <c r="W7" i="9" s="1"/>
  <c r="X7" i="9" s="1"/>
  <c r="Y7" i="9" s="1"/>
  <c r="Z7" i="9" s="1"/>
  <c r="AA7" i="9" s="1"/>
  <c r="AB7" i="9" s="1"/>
  <c r="AC7" i="9" s="1"/>
  <c r="AD7" i="9" s="1"/>
  <c r="AE7" i="9" s="1"/>
  <c r="AF7" i="9" s="1"/>
  <c r="AG7" i="9" s="1"/>
  <c r="AH7" i="9" s="1"/>
  <c r="AI7" i="9" s="1"/>
  <c r="AJ7" i="9" s="1"/>
  <c r="AK7" i="9" s="1"/>
  <c r="AL7" i="9" s="1"/>
  <c r="AM7" i="9" s="1"/>
  <c r="AN7" i="9" s="1"/>
  <c r="AO7" i="9" s="1"/>
  <c r="AP7" i="9" s="1"/>
  <c r="AQ7" i="9" s="1"/>
  <c r="AR7" i="9" s="1"/>
  <c r="AS7" i="9" s="1"/>
  <c r="AT7" i="9" s="1"/>
  <c r="AU7" i="9" s="1"/>
  <c r="AV7" i="9" s="1"/>
  <c r="AW7" i="9" s="1"/>
  <c r="AX7" i="9" s="1"/>
  <c r="AY7" i="9" s="1"/>
  <c r="AZ7" i="9" s="1"/>
  <c r="N41" i="9"/>
  <c r="O41" i="9" s="1"/>
  <c r="P41" i="9" s="1"/>
  <c r="Q41" i="9" s="1"/>
  <c r="R41" i="9" s="1"/>
  <c r="S41" i="9" s="1"/>
  <c r="T41" i="9" s="1"/>
  <c r="U41" i="9" s="1"/>
  <c r="V41" i="9" s="1"/>
  <c r="W41" i="9" s="1"/>
  <c r="X41" i="9" s="1"/>
  <c r="Y41" i="9" s="1"/>
  <c r="Z41" i="9" s="1"/>
  <c r="AA41" i="9" s="1"/>
  <c r="AB41" i="9" s="1"/>
  <c r="AC41" i="9" s="1"/>
  <c r="AD41" i="9" s="1"/>
  <c r="AE41" i="9" s="1"/>
  <c r="AF41" i="9" s="1"/>
  <c r="AG41" i="9" s="1"/>
  <c r="AH41" i="9" s="1"/>
  <c r="AI41" i="9" s="1"/>
  <c r="AJ41" i="9" s="1"/>
  <c r="AK41" i="9" s="1"/>
  <c r="AL41" i="9" s="1"/>
  <c r="AM41" i="9" s="1"/>
  <c r="AN41" i="9" s="1"/>
  <c r="AO41" i="9" s="1"/>
  <c r="AP41" i="9" s="1"/>
  <c r="AQ41" i="9" s="1"/>
  <c r="AR41" i="9" s="1"/>
  <c r="AS41" i="9" s="1"/>
  <c r="AT41" i="9" s="1"/>
  <c r="AU41" i="9" s="1"/>
  <c r="AV41" i="9" s="1"/>
  <c r="AW41" i="9" s="1"/>
  <c r="AX41" i="9" s="1"/>
  <c r="AY41" i="9" s="1"/>
  <c r="AZ41" i="9" s="1"/>
  <c r="N32" i="9"/>
  <c r="O32" i="9" s="1"/>
  <c r="P32" i="9" s="1"/>
  <c r="Q32" i="9" s="1"/>
  <c r="R32" i="9" s="1"/>
  <c r="S32" i="9" s="1"/>
  <c r="T32" i="9" s="1"/>
  <c r="U32" i="9" s="1"/>
  <c r="V32" i="9" s="1"/>
  <c r="W32" i="9" s="1"/>
  <c r="X32" i="9" s="1"/>
  <c r="Y32" i="9" s="1"/>
  <c r="Z32" i="9" s="1"/>
  <c r="AA32" i="9" s="1"/>
  <c r="AB32" i="9" s="1"/>
  <c r="AC32" i="9" s="1"/>
  <c r="AD32" i="9" s="1"/>
  <c r="AE32" i="9" s="1"/>
  <c r="AF32" i="9" s="1"/>
  <c r="AG32" i="9" s="1"/>
  <c r="AH32" i="9" s="1"/>
  <c r="AI32" i="9" s="1"/>
  <c r="AJ32" i="9" s="1"/>
  <c r="AK32" i="9" s="1"/>
  <c r="AL32" i="9" s="1"/>
  <c r="AM32" i="9" s="1"/>
  <c r="AN32" i="9" s="1"/>
  <c r="AO32" i="9" s="1"/>
  <c r="AP32" i="9" s="1"/>
  <c r="AQ32" i="9" s="1"/>
  <c r="AR32" i="9" s="1"/>
  <c r="AS32" i="9" s="1"/>
  <c r="AT32" i="9" s="1"/>
  <c r="AU32" i="9" s="1"/>
  <c r="AV32" i="9" s="1"/>
  <c r="AW32" i="9" s="1"/>
  <c r="AX32" i="9" s="1"/>
  <c r="AY32" i="9" s="1"/>
  <c r="AZ32" i="9" s="1"/>
  <c r="N20" i="9"/>
  <c r="O20" i="9" s="1"/>
  <c r="P20" i="9" s="1"/>
  <c r="Q20" i="9" s="1"/>
  <c r="R20" i="9" s="1"/>
  <c r="S20" i="9" s="1"/>
  <c r="T20" i="9" s="1"/>
  <c r="U20" i="9" s="1"/>
  <c r="V20" i="9" s="1"/>
  <c r="W20" i="9" s="1"/>
  <c r="X20" i="9" s="1"/>
  <c r="Y20" i="9" s="1"/>
  <c r="Z20" i="9" s="1"/>
  <c r="AA20" i="9" s="1"/>
  <c r="AB20" i="9" s="1"/>
  <c r="AC20" i="9" s="1"/>
  <c r="AD20" i="9" s="1"/>
  <c r="AE20" i="9" s="1"/>
  <c r="AF20" i="9" s="1"/>
  <c r="AG20" i="9" s="1"/>
  <c r="AH20" i="9" s="1"/>
  <c r="AI20" i="9" s="1"/>
  <c r="AJ20" i="9" s="1"/>
  <c r="AK20" i="9" s="1"/>
  <c r="AL20" i="9" s="1"/>
  <c r="AM20" i="9" s="1"/>
  <c r="AN20" i="9" s="1"/>
  <c r="AO20" i="9" s="1"/>
  <c r="AP20" i="9" s="1"/>
  <c r="AQ20" i="9" s="1"/>
  <c r="AR20" i="9" s="1"/>
  <c r="AS20" i="9" s="1"/>
  <c r="AT20" i="9" s="1"/>
  <c r="AU20" i="9" s="1"/>
  <c r="AV20" i="9" s="1"/>
  <c r="AW20" i="9" s="1"/>
  <c r="AX20" i="9" s="1"/>
  <c r="AY20" i="9" s="1"/>
  <c r="AZ20" i="9" s="1"/>
  <c r="N24" i="9"/>
  <c r="O24" i="9" s="1"/>
  <c r="P24" i="9" s="1"/>
  <c r="Q24" i="9" s="1"/>
  <c r="R24" i="9" s="1"/>
  <c r="S24" i="9" s="1"/>
  <c r="T24" i="9" s="1"/>
  <c r="U24" i="9" s="1"/>
  <c r="V24" i="9" s="1"/>
  <c r="W24" i="9" s="1"/>
  <c r="X24" i="9" s="1"/>
  <c r="Y24" i="9" s="1"/>
  <c r="Z24" i="9" s="1"/>
  <c r="AA24" i="9" s="1"/>
  <c r="AB24" i="9" s="1"/>
  <c r="AC24" i="9" s="1"/>
  <c r="AD24" i="9" s="1"/>
  <c r="AE24" i="9" s="1"/>
  <c r="AF24" i="9" s="1"/>
  <c r="AG24" i="9" s="1"/>
  <c r="AH24" i="9" s="1"/>
  <c r="AI24" i="9" s="1"/>
  <c r="AJ24" i="9" s="1"/>
  <c r="AK24" i="9" s="1"/>
  <c r="AL24" i="9" s="1"/>
  <c r="AM24" i="9" s="1"/>
  <c r="AN24" i="9" s="1"/>
  <c r="AO24" i="9" s="1"/>
  <c r="AP24" i="9" s="1"/>
  <c r="AQ24" i="9" s="1"/>
  <c r="AR24" i="9" s="1"/>
  <c r="AS24" i="9" s="1"/>
  <c r="AT24" i="9" s="1"/>
  <c r="AU24" i="9" s="1"/>
  <c r="AV24" i="9" s="1"/>
  <c r="AW24" i="9" s="1"/>
  <c r="AX24" i="9" s="1"/>
  <c r="AY24" i="9" s="1"/>
  <c r="AZ24" i="9" s="1"/>
  <c r="N22" i="9"/>
  <c r="O22" i="9" s="1"/>
  <c r="P22" i="9" s="1"/>
  <c r="Q22" i="9" s="1"/>
  <c r="R22" i="9" s="1"/>
  <c r="S22" i="9" s="1"/>
  <c r="T22" i="9" s="1"/>
  <c r="U22" i="9" s="1"/>
  <c r="V22" i="9" s="1"/>
  <c r="W22" i="9" s="1"/>
  <c r="X22" i="9" s="1"/>
  <c r="Y22" i="9" s="1"/>
  <c r="Z22" i="9" s="1"/>
  <c r="AA22" i="9" s="1"/>
  <c r="AB22" i="9" s="1"/>
  <c r="AC22" i="9" s="1"/>
  <c r="AD22" i="9" s="1"/>
  <c r="AE22" i="9" s="1"/>
  <c r="AF22" i="9" s="1"/>
  <c r="AG22" i="9" s="1"/>
  <c r="AH22" i="9" s="1"/>
  <c r="AI22" i="9" s="1"/>
  <c r="AJ22" i="9" s="1"/>
  <c r="AK22" i="9" s="1"/>
  <c r="AL22" i="9" s="1"/>
  <c r="AM22" i="9" s="1"/>
  <c r="AN22" i="9" s="1"/>
  <c r="AO22" i="9" s="1"/>
  <c r="AP22" i="9" s="1"/>
  <c r="AQ22" i="9" s="1"/>
  <c r="AR22" i="9" s="1"/>
  <c r="AS22" i="9" s="1"/>
  <c r="AT22" i="9" s="1"/>
  <c r="AU22" i="9" s="1"/>
  <c r="AV22" i="9" s="1"/>
  <c r="AW22" i="9" s="1"/>
  <c r="AX22" i="9" s="1"/>
  <c r="AY22" i="9" s="1"/>
  <c r="AZ22" i="9" s="1"/>
  <c r="T49" i="8"/>
  <c r="T16" i="13" s="1"/>
  <c r="T25" i="13" s="1"/>
  <c r="T26" i="13" s="1"/>
  <c r="S50" i="8"/>
  <c r="V48" i="8"/>
  <c r="V21" i="13" s="1"/>
  <c r="U47" i="8"/>
  <c r="D121" i="3"/>
  <c r="E116" i="3"/>
  <c r="F61" i="3"/>
  <c r="F60" i="3"/>
  <c r="F59" i="3"/>
  <c r="F58" i="3"/>
  <c r="F57" i="3"/>
  <c r="F55" i="3"/>
  <c r="F52" i="3"/>
  <c r="F51" i="3"/>
  <c r="F45" i="3"/>
  <c r="F43" i="3"/>
  <c r="N43" i="3" s="1"/>
  <c r="F42" i="3"/>
  <c r="F41" i="3"/>
  <c r="F40" i="3"/>
  <c r="F39" i="3"/>
  <c r="F38" i="3"/>
  <c r="F37" i="3"/>
  <c r="F11" i="3"/>
  <c r="N11" i="3" s="1"/>
  <c r="O11" i="3" s="1"/>
  <c r="P11" i="3" s="1"/>
  <c r="Q11" i="3" s="1"/>
  <c r="R11" i="3" s="1"/>
  <c r="S11" i="3" s="1"/>
  <c r="T11" i="3" s="1"/>
  <c r="U11" i="3" s="1"/>
  <c r="V11" i="3" s="1"/>
  <c r="W11" i="3" s="1"/>
  <c r="X11" i="3" s="1"/>
  <c r="Y11" i="3" s="1"/>
  <c r="Z11" i="3" s="1"/>
  <c r="AA11" i="3" s="1"/>
  <c r="AB11" i="3" s="1"/>
  <c r="AC11" i="3" s="1"/>
  <c r="AD11" i="3" s="1"/>
  <c r="AE11" i="3" s="1"/>
  <c r="AF11" i="3" s="1"/>
  <c r="AG11" i="3" s="1"/>
  <c r="AH11" i="3" s="1"/>
  <c r="AI11" i="3" s="1"/>
  <c r="AJ11" i="3" s="1"/>
  <c r="AK11" i="3" s="1"/>
  <c r="AL11" i="3" s="1"/>
  <c r="AM11" i="3" s="1"/>
  <c r="AN11" i="3" s="1"/>
  <c r="AO11" i="3" s="1"/>
  <c r="AP11" i="3" s="1"/>
  <c r="AQ11" i="3" s="1"/>
  <c r="AR11" i="3" s="1"/>
  <c r="AS11" i="3" s="1"/>
  <c r="AT11" i="3" s="1"/>
  <c r="AU11" i="3" s="1"/>
  <c r="AV11" i="3" s="1"/>
  <c r="AW11" i="3" s="1"/>
  <c r="AX11" i="3" s="1"/>
  <c r="AY11" i="3" s="1"/>
  <c r="AZ11" i="3" s="1"/>
  <c r="BA11" i="3" s="1"/>
  <c r="Y10" i="8" l="1"/>
  <c r="X15" i="8"/>
  <c r="X14" i="8"/>
  <c r="Y7" i="8"/>
  <c r="M60" i="9"/>
  <c r="M63" i="9"/>
  <c r="M41" i="13" s="1"/>
  <c r="K7" i="9"/>
  <c r="J7" i="9" s="1"/>
  <c r="K22" i="9"/>
  <c r="J22" i="9" s="1"/>
  <c r="L44" i="9"/>
  <c r="L36" i="9"/>
  <c r="L33" i="9"/>
  <c r="L48" i="9"/>
  <c r="L35" i="9"/>
  <c r="K35" i="9"/>
  <c r="J35" i="9" s="1"/>
  <c r="L41" i="9"/>
  <c r="K41" i="9"/>
  <c r="J41" i="9" s="1"/>
  <c r="K18" i="9"/>
  <c r="J18" i="9" s="1"/>
  <c r="K10" i="9"/>
  <c r="J10" i="9" s="1"/>
  <c r="K33" i="9"/>
  <c r="J33" i="9" s="1"/>
  <c r="L32" i="9"/>
  <c r="K17" i="9"/>
  <c r="J17" i="9" s="1"/>
  <c r="L10" i="9"/>
  <c r="K19" i="9"/>
  <c r="J19" i="9" s="1"/>
  <c r="K38" i="9"/>
  <c r="J38" i="9" s="1"/>
  <c r="K32" i="9"/>
  <c r="J32" i="9" s="1"/>
  <c r="K44" i="9"/>
  <c r="J44" i="9" s="1"/>
  <c r="L17" i="9"/>
  <c r="K21" i="9"/>
  <c r="J21" i="9" s="1"/>
  <c r="K12" i="9"/>
  <c r="J12" i="9" s="1"/>
  <c r="L19" i="9"/>
  <c r="L39" i="9"/>
  <c r="L38" i="9"/>
  <c r="K45" i="9"/>
  <c r="J45" i="9" s="1"/>
  <c r="L12" i="9"/>
  <c r="K23" i="9"/>
  <c r="J23" i="9" s="1"/>
  <c r="K14" i="9"/>
  <c r="J14" i="9" s="1"/>
  <c r="K36" i="9"/>
  <c r="J36" i="9" s="1"/>
  <c r="L22" i="9"/>
  <c r="K43" i="9"/>
  <c r="J43" i="9" s="1"/>
  <c r="L13" i="9"/>
  <c r="K8" i="9"/>
  <c r="J8" i="9" s="1"/>
  <c r="K48" i="9"/>
  <c r="J48" i="9" s="1"/>
  <c r="K37" i="9"/>
  <c r="J37" i="9" s="1"/>
  <c r="L23" i="9"/>
  <c r="L42" i="9"/>
  <c r="K39" i="9"/>
  <c r="J39" i="9" s="1"/>
  <c r="K46" i="9"/>
  <c r="J46" i="9" s="1"/>
  <c r="L14" i="9"/>
  <c r="K20" i="9"/>
  <c r="J20" i="9" s="1"/>
  <c r="L9" i="9"/>
  <c r="K30" i="9"/>
  <c r="J30" i="9" s="1"/>
  <c r="L43" i="9"/>
  <c r="L47" i="9"/>
  <c r="K13" i="9"/>
  <c r="J13" i="9" s="1"/>
  <c r="L16" i="9"/>
  <c r="K40" i="9"/>
  <c r="J40" i="9" s="1"/>
  <c r="L8" i="9"/>
  <c r="L15" i="9"/>
  <c r="L37" i="9"/>
  <c r="L31" i="9"/>
  <c r="K42" i="9"/>
  <c r="J42" i="9" s="1"/>
  <c r="L46" i="9"/>
  <c r="L34" i="9"/>
  <c r="T58" i="8"/>
  <c r="L24" i="9"/>
  <c r="L20" i="9"/>
  <c r="L7" i="9"/>
  <c r="K9" i="9"/>
  <c r="J9" i="9" s="1"/>
  <c r="L18" i="9"/>
  <c r="L30" i="9"/>
  <c r="L45" i="9"/>
  <c r="K47" i="9"/>
  <c r="J47" i="9" s="1"/>
  <c r="L21" i="9"/>
  <c r="K16" i="9"/>
  <c r="J16" i="9" s="1"/>
  <c r="L40" i="9"/>
  <c r="K15" i="9"/>
  <c r="J15" i="9" s="1"/>
  <c r="K31" i="9"/>
  <c r="J31" i="9" s="1"/>
  <c r="K34" i="9"/>
  <c r="J34" i="9" s="1"/>
  <c r="K24" i="9"/>
  <c r="J24" i="9" s="1"/>
  <c r="M51" i="9"/>
  <c r="O29" i="9"/>
  <c r="N50" i="9"/>
  <c r="N58" i="9" s="1"/>
  <c r="O11" i="9"/>
  <c r="O25" i="9"/>
  <c r="O6" i="9"/>
  <c r="N27" i="9"/>
  <c r="T50" i="8"/>
  <c r="U49" i="8"/>
  <c r="U16" i="13" s="1"/>
  <c r="U25" i="13" s="1"/>
  <c r="U26" i="13" s="1"/>
  <c r="V47" i="8"/>
  <c r="W48" i="8"/>
  <c r="W21" i="13" s="1"/>
  <c r="Z10" i="8" l="1"/>
  <c r="Y15" i="8"/>
  <c r="Y14" i="8"/>
  <c r="Z7" i="8"/>
  <c r="N63" i="9"/>
  <c r="N41" i="13" s="1"/>
  <c r="N59" i="9"/>
  <c r="N60" i="9"/>
  <c r="N51" i="9"/>
  <c r="P25" i="9"/>
  <c r="O50" i="9"/>
  <c r="O58" i="9" s="1"/>
  <c r="P29" i="9"/>
  <c r="P6" i="9"/>
  <c r="O27" i="9"/>
  <c r="P11" i="9"/>
  <c r="U58" i="8"/>
  <c r="U50" i="8"/>
  <c r="V49" i="8"/>
  <c r="V16" i="13" s="1"/>
  <c r="V25" i="13" s="1"/>
  <c r="V26" i="13" s="1"/>
  <c r="M11" i="3"/>
  <c r="W47" i="8"/>
  <c r="X48" i="8"/>
  <c r="X21" i="13" s="1"/>
  <c r="K26" i="8"/>
  <c r="J26" i="8" s="1"/>
  <c r="K30" i="8"/>
  <c r="J30" i="8" s="1"/>
  <c r="L26" i="8"/>
  <c r="L30" i="8"/>
  <c r="L29" i="8"/>
  <c r="K17" i="8"/>
  <c r="J17" i="8" s="1"/>
  <c r="L28" i="8"/>
  <c r="K28" i="8"/>
  <c r="J28" i="8" s="1"/>
  <c r="K29" i="8"/>
  <c r="J29" i="8" s="1"/>
  <c r="L17" i="8"/>
  <c r="K18" i="8"/>
  <c r="J18" i="8" s="1"/>
  <c r="AA10" i="8" l="1"/>
  <c r="Z15" i="8"/>
  <c r="Z14" i="8"/>
  <c r="AA7" i="8"/>
  <c r="O63" i="9"/>
  <c r="O41" i="13" s="1"/>
  <c r="O59" i="9"/>
  <c r="O60" i="9"/>
  <c r="V58" i="8"/>
  <c r="Q6" i="9"/>
  <c r="P27" i="9"/>
  <c r="Q25" i="9"/>
  <c r="P50" i="9"/>
  <c r="P58" i="9" s="1"/>
  <c r="Q29" i="9"/>
  <c r="Q11" i="9"/>
  <c r="O51" i="9"/>
  <c r="W49" i="8"/>
  <c r="W16" i="13" s="1"/>
  <c r="W25" i="13" s="1"/>
  <c r="W26" i="13" s="1"/>
  <c r="V50" i="8"/>
  <c r="Y48" i="8"/>
  <c r="Y21" i="13" s="1"/>
  <c r="X47" i="8"/>
  <c r="L22" i="8"/>
  <c r="E297" i="12" s="1"/>
  <c r="K22" i="8"/>
  <c r="J22" i="8" s="1"/>
  <c r="AB10" i="8" l="1"/>
  <c r="AA15" i="8"/>
  <c r="AA14" i="8"/>
  <c r="AB7" i="8"/>
  <c r="P63" i="9"/>
  <c r="P41" i="13" s="1"/>
  <c r="P60" i="9"/>
  <c r="P59" i="9"/>
  <c r="R11" i="9"/>
  <c r="R25" i="9"/>
  <c r="Q50" i="9"/>
  <c r="Q58" i="9" s="1"/>
  <c r="R29" i="9"/>
  <c r="P51" i="9"/>
  <c r="R6" i="9"/>
  <c r="Q27" i="9"/>
  <c r="W58" i="8"/>
  <c r="W50" i="8"/>
  <c r="X49" i="8"/>
  <c r="X16" i="13" s="1"/>
  <c r="X25" i="13" s="1"/>
  <c r="X26" i="13" s="1"/>
  <c r="Y47" i="8"/>
  <c r="Z48" i="8"/>
  <c r="Z21" i="13" s="1"/>
  <c r="AC10" i="8" l="1"/>
  <c r="AB15" i="8"/>
  <c r="AB14" i="8"/>
  <c r="AC7" i="8"/>
  <c r="Q63" i="9"/>
  <c r="Q41" i="13" s="1"/>
  <c r="Q59" i="9"/>
  <c r="Q60" i="9"/>
  <c r="S25" i="9"/>
  <c r="S29" i="9"/>
  <c r="R50" i="9"/>
  <c r="R58" i="9" s="1"/>
  <c r="R27" i="9"/>
  <c r="S6" i="9"/>
  <c r="Q51" i="9"/>
  <c r="S11" i="9"/>
  <c r="X58" i="8"/>
  <c r="X50" i="8"/>
  <c r="Y49" i="8"/>
  <c r="Y16" i="13" s="1"/>
  <c r="Y25" i="13" s="1"/>
  <c r="Y26" i="13" s="1"/>
  <c r="AA48" i="8"/>
  <c r="AA21" i="13" s="1"/>
  <c r="Z47" i="8"/>
  <c r="AD10" i="8" l="1"/>
  <c r="AC15" i="8"/>
  <c r="AC14" i="8"/>
  <c r="AD7" i="8"/>
  <c r="R63" i="9"/>
  <c r="R41" i="13" s="1"/>
  <c r="R60" i="9"/>
  <c r="R59" i="9"/>
  <c r="T29" i="9"/>
  <c r="S50" i="9"/>
  <c r="S58" i="9" s="1"/>
  <c r="T6" i="9"/>
  <c r="S27" i="9"/>
  <c r="T11" i="9"/>
  <c r="R51" i="9"/>
  <c r="T25" i="9"/>
  <c r="Y58" i="8"/>
  <c r="Y50" i="8"/>
  <c r="Z49" i="8"/>
  <c r="Z16" i="13" s="1"/>
  <c r="Z25" i="13" s="1"/>
  <c r="Z26" i="13" s="1"/>
  <c r="AA47" i="8"/>
  <c r="AB48" i="8"/>
  <c r="AB21" i="13" s="1"/>
  <c r="AE10" i="8" l="1"/>
  <c r="AD15" i="8"/>
  <c r="AD14" i="8"/>
  <c r="AE7" i="8"/>
  <c r="S63" i="9"/>
  <c r="S41" i="13" s="1"/>
  <c r="S60" i="9"/>
  <c r="S59" i="9"/>
  <c r="Z58" i="8"/>
  <c r="T27" i="9"/>
  <c r="U6" i="9"/>
  <c r="U25" i="9"/>
  <c r="S51" i="9"/>
  <c r="U11" i="9"/>
  <c r="T50" i="9"/>
  <c r="T58" i="9" s="1"/>
  <c r="U29" i="9"/>
  <c r="Z50" i="8"/>
  <c r="AA49" i="8"/>
  <c r="AA16" i="13" s="1"/>
  <c r="AA25" i="13" s="1"/>
  <c r="AA26" i="13" s="1"/>
  <c r="AB47" i="8"/>
  <c r="AC48" i="8"/>
  <c r="AC21" i="13" s="1"/>
  <c r="AF10" i="8" l="1"/>
  <c r="AE15" i="8"/>
  <c r="AE14" i="8"/>
  <c r="AF7" i="8"/>
  <c r="T63" i="9"/>
  <c r="T41" i="13"/>
  <c r="T59" i="9"/>
  <c r="T60" i="9"/>
  <c r="V11" i="9"/>
  <c r="U50" i="9"/>
  <c r="U58" i="9" s="1"/>
  <c r="V29" i="9"/>
  <c r="V6" i="9"/>
  <c r="U27" i="9"/>
  <c r="V25" i="9"/>
  <c r="T51" i="9"/>
  <c r="AA58" i="8"/>
  <c r="AA50" i="8"/>
  <c r="AB49" i="8"/>
  <c r="AB16" i="13" s="1"/>
  <c r="AB25" i="13" s="1"/>
  <c r="AB26" i="13" s="1"/>
  <c r="AD48" i="8"/>
  <c r="AD21" i="13" s="1"/>
  <c r="AC47" i="8"/>
  <c r="AG10" i="8" l="1"/>
  <c r="AF15" i="8"/>
  <c r="AF14" i="8"/>
  <c r="AG7" i="8"/>
  <c r="U63" i="9"/>
  <c r="U41" i="13" s="1"/>
  <c r="U60" i="9"/>
  <c r="U59" i="9"/>
  <c r="W25" i="9"/>
  <c r="U51" i="9"/>
  <c r="V50" i="9"/>
  <c r="V58" i="9" s="1"/>
  <c r="W29" i="9"/>
  <c r="W6" i="9"/>
  <c r="V27" i="9"/>
  <c r="W11" i="9"/>
  <c r="AB58" i="8"/>
  <c r="AB50" i="8"/>
  <c r="AC49" i="8"/>
  <c r="AC16" i="13" s="1"/>
  <c r="AC25" i="13" s="1"/>
  <c r="AC26" i="13" s="1"/>
  <c r="AD47" i="8"/>
  <c r="AE48" i="8"/>
  <c r="AE21" i="13" s="1"/>
  <c r="AH10" i="8" l="1"/>
  <c r="AG15" i="8"/>
  <c r="AG14" i="8"/>
  <c r="AH7" i="8"/>
  <c r="V63" i="9"/>
  <c r="V41" i="13" s="1"/>
  <c r="V60" i="9"/>
  <c r="V59" i="9"/>
  <c r="X29" i="9"/>
  <c r="W50" i="9"/>
  <c r="W58" i="9" s="1"/>
  <c r="X6" i="9"/>
  <c r="W27" i="9"/>
  <c r="X11" i="9"/>
  <c r="V51" i="9"/>
  <c r="X25" i="9"/>
  <c r="AC58" i="8"/>
  <c r="AC50" i="8"/>
  <c r="AD49" i="8"/>
  <c r="AD16" i="13" s="1"/>
  <c r="AD25" i="13" s="1"/>
  <c r="AD26" i="13" s="1"/>
  <c r="AF48" i="8"/>
  <c r="AF21" i="13" s="1"/>
  <c r="AE47" i="8"/>
  <c r="AI10" i="8" l="1"/>
  <c r="AH15" i="8"/>
  <c r="AH14" i="8"/>
  <c r="AI7" i="8"/>
  <c r="W63" i="9"/>
  <c r="W41" i="13" s="1"/>
  <c r="W59" i="9"/>
  <c r="W60" i="9"/>
  <c r="Y6" i="9"/>
  <c r="X27" i="9"/>
  <c r="W51" i="9"/>
  <c r="Y25" i="9"/>
  <c r="Y11" i="9"/>
  <c r="X50" i="9"/>
  <c r="X58" i="9" s="1"/>
  <c r="Y29" i="9"/>
  <c r="AD58" i="8"/>
  <c r="AE49" i="8"/>
  <c r="AE16" i="13" s="1"/>
  <c r="AE25" i="13" s="1"/>
  <c r="AE26" i="13" s="1"/>
  <c r="AD50" i="8"/>
  <c r="AF47" i="8"/>
  <c r="AG48" i="8"/>
  <c r="AG21" i="13" s="1"/>
  <c r="AJ10" i="8" l="1"/>
  <c r="AI15" i="8"/>
  <c r="AI14" i="8"/>
  <c r="AJ7" i="8"/>
  <c r="X63" i="9"/>
  <c r="X41" i="13" s="1"/>
  <c r="X60" i="9"/>
  <c r="X59" i="9"/>
  <c r="Z11" i="9"/>
  <c r="Z29" i="9"/>
  <c r="Y50" i="9"/>
  <c r="Y58" i="9" s="1"/>
  <c r="X51" i="9"/>
  <c r="Z25" i="9"/>
  <c r="Z6" i="9"/>
  <c r="Y27" i="9"/>
  <c r="AE58" i="8"/>
  <c r="AE50" i="8"/>
  <c r="AF49" i="8"/>
  <c r="AF16" i="13" s="1"/>
  <c r="AF25" i="13" s="1"/>
  <c r="AF26" i="13" s="1"/>
  <c r="AH48" i="8"/>
  <c r="AH21" i="13" s="1"/>
  <c r="AG47" i="8"/>
  <c r="AK10" i="8" l="1"/>
  <c r="AJ15" i="8"/>
  <c r="AJ14" i="8"/>
  <c r="AK7" i="8"/>
  <c r="Y63" i="9"/>
  <c r="Y41" i="13" s="1"/>
  <c r="Y60" i="9"/>
  <c r="Y59" i="9"/>
  <c r="Y51" i="9"/>
  <c r="AA25" i="9"/>
  <c r="AA29" i="9"/>
  <c r="Z50" i="9"/>
  <c r="Z58" i="9" s="1"/>
  <c r="Z27" i="9"/>
  <c r="AA6" i="9"/>
  <c r="AA11" i="9"/>
  <c r="AF58" i="8"/>
  <c r="AG49" i="8"/>
  <c r="AG16" i="13" s="1"/>
  <c r="AG25" i="13" s="1"/>
  <c r="AG26" i="13" s="1"/>
  <c r="AF50" i="8"/>
  <c r="AH47" i="8"/>
  <c r="AI48" i="8"/>
  <c r="AI21" i="13" s="1"/>
  <c r="AL10" i="8" l="1"/>
  <c r="AK15" i="8"/>
  <c r="AK14" i="8"/>
  <c r="AL7" i="8"/>
  <c r="Z63" i="9"/>
  <c r="Z41" i="13" s="1"/>
  <c r="Z59" i="9"/>
  <c r="Z60" i="9"/>
  <c r="AB6" i="9"/>
  <c r="AA27" i="9"/>
  <c r="AB25" i="9"/>
  <c r="Z51" i="9"/>
  <c r="AB11" i="9"/>
  <c r="AA50" i="9"/>
  <c r="AA58" i="9" s="1"/>
  <c r="AB29" i="9"/>
  <c r="AG58" i="8"/>
  <c r="AG50" i="8"/>
  <c r="AH49" i="8"/>
  <c r="AH16" i="13" s="1"/>
  <c r="AH25" i="13" s="1"/>
  <c r="AH26" i="13" s="1"/>
  <c r="AJ48" i="8"/>
  <c r="AJ21" i="13" s="1"/>
  <c r="AI47" i="8"/>
  <c r="AM10" i="8" l="1"/>
  <c r="AL15" i="8"/>
  <c r="AL14" i="8"/>
  <c r="AM7" i="8"/>
  <c r="AA63" i="9"/>
  <c r="AA41" i="13" s="1"/>
  <c r="AA59" i="9"/>
  <c r="AA60" i="9"/>
  <c r="AC11" i="9"/>
  <c r="AC25" i="9"/>
  <c r="AB50" i="9"/>
  <c r="AB58" i="9" s="1"/>
  <c r="AC29" i="9"/>
  <c r="AA51" i="9"/>
  <c r="AC6" i="9"/>
  <c r="AB27" i="9"/>
  <c r="AH50" i="8"/>
  <c r="AH58" i="8"/>
  <c r="AI49" i="8"/>
  <c r="AI16" i="13" s="1"/>
  <c r="AI25" i="13" s="1"/>
  <c r="AI26" i="13" s="1"/>
  <c r="AJ47" i="8"/>
  <c r="AK48" i="8"/>
  <c r="AK21" i="13" s="1"/>
  <c r="AN10" i="8" l="1"/>
  <c r="AM15" i="8"/>
  <c r="AM14" i="8"/>
  <c r="AN7" i="8"/>
  <c r="AB63" i="9"/>
  <c r="AB41" i="13" s="1"/>
  <c r="AB59" i="9"/>
  <c r="AB60" i="9"/>
  <c r="AI58" i="8"/>
  <c r="AD25" i="9"/>
  <c r="AC50" i="9"/>
  <c r="AC58" i="9" s="1"/>
  <c r="AD29" i="9"/>
  <c r="AC27" i="9"/>
  <c r="AD6" i="9"/>
  <c r="AB51" i="9"/>
  <c r="AD11" i="9"/>
  <c r="AI50" i="8"/>
  <c r="AJ49" i="8"/>
  <c r="AJ16" i="13" s="1"/>
  <c r="AJ25" i="13" s="1"/>
  <c r="AJ26" i="13" s="1"/>
  <c r="AK47" i="8"/>
  <c r="AL48" i="8"/>
  <c r="AL21" i="13" s="1"/>
  <c r="AO10" i="8" l="1"/>
  <c r="AN15" i="8"/>
  <c r="AN14" i="8"/>
  <c r="AO7" i="8"/>
  <c r="AC63" i="9"/>
  <c r="AC41" i="13" s="1"/>
  <c r="AC60" i="9"/>
  <c r="AC59" i="9"/>
  <c r="AE29" i="9"/>
  <c r="AD50" i="9"/>
  <c r="AD58" i="9" s="1"/>
  <c r="AC51" i="9"/>
  <c r="AE6" i="9"/>
  <c r="AD27" i="9"/>
  <c r="AE11" i="9"/>
  <c r="AE25" i="9"/>
  <c r="AJ58" i="8"/>
  <c r="AJ50" i="8"/>
  <c r="AK49" i="8"/>
  <c r="AK16" i="13" s="1"/>
  <c r="AK25" i="13" s="1"/>
  <c r="AK26" i="13" s="1"/>
  <c r="AM48" i="8"/>
  <c r="AM21" i="13" s="1"/>
  <c r="AL47" i="8"/>
  <c r="AP10" i="8" l="1"/>
  <c r="AO15" i="8"/>
  <c r="AO14" i="8"/>
  <c r="AP7" i="8"/>
  <c r="AD63" i="9"/>
  <c r="AD41" i="13" s="1"/>
  <c r="AD60" i="9"/>
  <c r="AD59" i="9"/>
  <c r="AK58" i="8"/>
  <c r="AF11" i="9"/>
  <c r="AD51" i="9"/>
  <c r="AF25" i="9"/>
  <c r="AF6" i="9"/>
  <c r="AE27" i="9"/>
  <c r="AF29" i="9"/>
  <c r="AE50" i="9"/>
  <c r="AE58" i="9" s="1"/>
  <c r="AL49" i="8"/>
  <c r="AL16" i="13" s="1"/>
  <c r="AL25" i="13" s="1"/>
  <c r="AL26" i="13" s="1"/>
  <c r="AK50" i="8"/>
  <c r="AN48" i="8"/>
  <c r="AN21" i="13" s="1"/>
  <c r="AM47" i="8"/>
  <c r="AQ10" i="8" l="1"/>
  <c r="AP15" i="8"/>
  <c r="AP14" i="8"/>
  <c r="AQ7" i="8"/>
  <c r="AE63" i="9"/>
  <c r="AE41" i="13" s="1"/>
  <c r="AE60" i="9"/>
  <c r="AE59" i="9"/>
  <c r="AL58" i="8"/>
  <c r="AG6" i="9"/>
  <c r="AF27" i="9"/>
  <c r="AE51" i="9"/>
  <c r="AF50" i="9"/>
  <c r="AF58" i="9" s="1"/>
  <c r="AG29" i="9"/>
  <c r="AG25" i="9"/>
  <c r="AG11" i="9"/>
  <c r="AL50" i="8"/>
  <c r="AM49" i="8"/>
  <c r="AM16" i="13" s="1"/>
  <c r="AM25" i="13" s="1"/>
  <c r="AM26" i="13" s="1"/>
  <c r="AN47" i="8"/>
  <c r="AO48" i="8"/>
  <c r="AO21" i="13" s="1"/>
  <c r="AR10" i="8" l="1"/>
  <c r="AQ15" i="8"/>
  <c r="AQ14" i="8"/>
  <c r="AR7" i="8"/>
  <c r="AF63" i="9"/>
  <c r="AF41" i="13" s="1"/>
  <c r="AF60" i="9"/>
  <c r="AF59" i="9"/>
  <c r="AM58" i="8"/>
  <c r="AH25" i="9"/>
  <c r="AG50" i="9"/>
  <c r="AG58" i="9" s="1"/>
  <c r="AH29" i="9"/>
  <c r="AH11" i="9"/>
  <c r="AF51" i="9"/>
  <c r="AG27" i="9"/>
  <c r="AH6" i="9"/>
  <c r="AM50" i="8"/>
  <c r="AN49" i="8"/>
  <c r="AN16" i="13" s="1"/>
  <c r="AN25" i="13" s="1"/>
  <c r="AN26" i="13" s="1"/>
  <c r="AO47" i="8"/>
  <c r="AP48" i="8"/>
  <c r="AP21" i="13" s="1"/>
  <c r="AS10" i="8" l="1"/>
  <c r="AR15" i="8"/>
  <c r="AR14" i="8"/>
  <c r="AS7" i="8"/>
  <c r="AG63" i="9"/>
  <c r="AG41" i="13" s="1"/>
  <c r="AG59" i="9"/>
  <c r="AG60" i="9"/>
  <c r="AH50" i="9"/>
  <c r="AH58" i="9" s="1"/>
  <c r="AI29" i="9"/>
  <c r="AG51" i="9"/>
  <c r="AI6" i="9"/>
  <c r="AH27" i="9"/>
  <c r="AI11" i="9"/>
  <c r="AI25" i="9"/>
  <c r="AN58" i="8"/>
  <c r="AN50" i="8"/>
  <c r="AO49" i="8"/>
  <c r="AO16" i="13" s="1"/>
  <c r="AO25" i="13" s="1"/>
  <c r="AO26" i="13" s="1"/>
  <c r="AQ48" i="8"/>
  <c r="AQ21" i="13" s="1"/>
  <c r="AP47" i="8"/>
  <c r="AT10" i="8" l="1"/>
  <c r="AS15" i="8"/>
  <c r="AS14" i="8"/>
  <c r="AT7" i="8"/>
  <c r="AH63" i="9"/>
  <c r="AH41" i="13" s="1"/>
  <c r="AH59" i="9"/>
  <c r="AH60" i="9"/>
  <c r="AJ25" i="9"/>
  <c r="AH51" i="9"/>
  <c r="AJ6" i="9"/>
  <c r="AI27" i="9"/>
  <c r="AJ11" i="9"/>
  <c r="AI50" i="9"/>
  <c r="AI58" i="9" s="1"/>
  <c r="AJ29" i="9"/>
  <c r="AO58" i="8"/>
  <c r="AP49" i="8"/>
  <c r="AP16" i="13" s="1"/>
  <c r="AP25" i="13" s="1"/>
  <c r="AP26" i="13" s="1"/>
  <c r="AO50" i="8"/>
  <c r="AR48" i="8"/>
  <c r="AR21" i="13" s="1"/>
  <c r="AQ47" i="8"/>
  <c r="AU10" i="8" l="1"/>
  <c r="AT15" i="8"/>
  <c r="AT14" i="8"/>
  <c r="AU7" i="8"/>
  <c r="AI63" i="9"/>
  <c r="AI41" i="13" s="1"/>
  <c r="AI59" i="9"/>
  <c r="AI60" i="9"/>
  <c r="AK11" i="9"/>
  <c r="AJ50" i="9"/>
  <c r="AJ58" i="9" s="1"/>
  <c r="AK29" i="9"/>
  <c r="AI51" i="9"/>
  <c r="AK6" i="9"/>
  <c r="AJ27" i="9"/>
  <c r="AK25" i="9"/>
  <c r="AP58" i="8"/>
  <c r="AP50" i="8"/>
  <c r="AQ49" i="8"/>
  <c r="AQ16" i="13" s="1"/>
  <c r="AQ25" i="13" s="1"/>
  <c r="AQ26" i="13" s="1"/>
  <c r="AR47" i="8"/>
  <c r="AS48" i="8"/>
  <c r="AS21" i="13" s="1"/>
  <c r="AV10" i="8" l="1"/>
  <c r="AU15" i="8"/>
  <c r="AU14" i="8"/>
  <c r="AV7" i="8"/>
  <c r="AJ63" i="9"/>
  <c r="AJ41" i="13"/>
  <c r="AJ60" i="9"/>
  <c r="AJ59" i="9"/>
  <c r="AQ58" i="8"/>
  <c r="AL29" i="9"/>
  <c r="AK50" i="9"/>
  <c r="AK58" i="9" s="1"/>
  <c r="AL6" i="9"/>
  <c r="AK27" i="9"/>
  <c r="AJ51" i="9"/>
  <c r="AL25" i="9"/>
  <c r="AL11" i="9"/>
  <c r="AR49" i="8"/>
  <c r="AR16" i="13" s="1"/>
  <c r="AR25" i="13" s="1"/>
  <c r="AR26" i="13" s="1"/>
  <c r="AQ50" i="8"/>
  <c r="AS47" i="8"/>
  <c r="AT48" i="8"/>
  <c r="AT21" i="13" s="1"/>
  <c r="AW10" i="8" l="1"/>
  <c r="AV15" i="8"/>
  <c r="AV14" i="8"/>
  <c r="AW7" i="8"/>
  <c r="AK63" i="9"/>
  <c r="AK41" i="13" s="1"/>
  <c r="AK60" i="9"/>
  <c r="AK59" i="9"/>
  <c r="AM25" i="9"/>
  <c r="AM6" i="9"/>
  <c r="AL27" i="9"/>
  <c r="AK51" i="9"/>
  <c r="AM11" i="9"/>
  <c r="AL50" i="9"/>
  <c r="AL58" i="9" s="1"/>
  <c r="AM29" i="9"/>
  <c r="AR58" i="8"/>
  <c r="AS49" i="8"/>
  <c r="AS16" i="13" s="1"/>
  <c r="AS25" i="13" s="1"/>
  <c r="AS26" i="13" s="1"/>
  <c r="AR50" i="8"/>
  <c r="AU48" i="8"/>
  <c r="AU21" i="13" s="1"/>
  <c r="AT47" i="8"/>
  <c r="AX10" i="8" l="1"/>
  <c r="AW15" i="8"/>
  <c r="AW14" i="8"/>
  <c r="AX7" i="8"/>
  <c r="AL63" i="9"/>
  <c r="AL41" i="13" s="1"/>
  <c r="AL60" i="9"/>
  <c r="AL59" i="9"/>
  <c r="AN11" i="9"/>
  <c r="AN6" i="9"/>
  <c r="AM27" i="9"/>
  <c r="AM50" i="9"/>
  <c r="AM58" i="9" s="1"/>
  <c r="AN29" i="9"/>
  <c r="AL51" i="9"/>
  <c r="AN25" i="9"/>
  <c r="AS58" i="8"/>
  <c r="AT49" i="8"/>
  <c r="AT16" i="13" s="1"/>
  <c r="AT25" i="13" s="1"/>
  <c r="AT26" i="13" s="1"/>
  <c r="AS50" i="8"/>
  <c r="AV48" i="8"/>
  <c r="AV21" i="13" s="1"/>
  <c r="AU47" i="8"/>
  <c r="AY10" i="8" l="1"/>
  <c r="AX15" i="8"/>
  <c r="AX14" i="8"/>
  <c r="AY7" i="8"/>
  <c r="AM63" i="9"/>
  <c r="AM41" i="13" s="1"/>
  <c r="AM59" i="9"/>
  <c r="AM60" i="9"/>
  <c r="AO6" i="9"/>
  <c r="AN27" i="9"/>
  <c r="AO25" i="9"/>
  <c r="AO29" i="9"/>
  <c r="AN50" i="9"/>
  <c r="AN58" i="9" s="1"/>
  <c r="AM51" i="9"/>
  <c r="AO11" i="9"/>
  <c r="AT50" i="8"/>
  <c r="AT58" i="8"/>
  <c r="AU49" i="8"/>
  <c r="AU16" i="13" s="1"/>
  <c r="AU25" i="13" s="1"/>
  <c r="AU26" i="13" s="1"/>
  <c r="AV47" i="8"/>
  <c r="AW48" i="8"/>
  <c r="AW21" i="13" s="1"/>
  <c r="AZ10" i="8" l="1"/>
  <c r="AY15" i="8"/>
  <c r="AY14" i="8"/>
  <c r="AZ7" i="8"/>
  <c r="AN63" i="9"/>
  <c r="AN41" i="13" s="1"/>
  <c r="AN60" i="9"/>
  <c r="AN59" i="9"/>
  <c r="AP25" i="9"/>
  <c r="AP11" i="9"/>
  <c r="AN51" i="9"/>
  <c r="AU58" i="8"/>
  <c r="AP29" i="9"/>
  <c r="AO50" i="9"/>
  <c r="AO58" i="9" s="1"/>
  <c r="AP6" i="9"/>
  <c r="AO27" i="9"/>
  <c r="AV49" i="8"/>
  <c r="AV16" i="13" s="1"/>
  <c r="AV25" i="13" s="1"/>
  <c r="AV26" i="13" s="1"/>
  <c r="AU50" i="8"/>
  <c r="AW47" i="8"/>
  <c r="AX48" i="8"/>
  <c r="AX21" i="13" s="1"/>
  <c r="AZ15" i="8" l="1"/>
  <c r="K10" i="8"/>
  <c r="J10" i="8" s="1"/>
  <c r="L10" i="8"/>
  <c r="AZ14" i="8"/>
  <c r="L7" i="8"/>
  <c r="K7" i="8"/>
  <c r="J7" i="8" s="1"/>
  <c r="AO60" i="9"/>
  <c r="AO59" i="9"/>
  <c r="AO63" i="9"/>
  <c r="AO41" i="13" s="1"/>
  <c r="AQ11" i="9"/>
  <c r="AP50" i="9"/>
  <c r="AP58" i="9" s="1"/>
  <c r="AQ29" i="9"/>
  <c r="AP27" i="9"/>
  <c r="AQ6" i="9"/>
  <c r="AO51" i="9"/>
  <c r="AQ25" i="9"/>
  <c r="AV58" i="8"/>
  <c r="AW49" i="8"/>
  <c r="AW16" i="13" s="1"/>
  <c r="AW25" i="13" s="1"/>
  <c r="AW26" i="13" s="1"/>
  <c r="AV50" i="8"/>
  <c r="AX47" i="8"/>
  <c r="AY48" i="8"/>
  <c r="AY21" i="13" s="1"/>
  <c r="K14" i="8" l="1"/>
  <c r="J14" i="8" s="1"/>
  <c r="L14" i="8"/>
  <c r="AP63" i="9"/>
  <c r="AP41" i="13" s="1"/>
  <c r="AP59" i="9"/>
  <c r="AP60" i="9"/>
  <c r="AP51" i="9"/>
  <c r="AR29" i="9"/>
  <c r="AQ50" i="9"/>
  <c r="AQ58" i="9" s="1"/>
  <c r="AR6" i="9"/>
  <c r="AQ27" i="9"/>
  <c r="AR25" i="9"/>
  <c r="AR11" i="9"/>
  <c r="AW58" i="8"/>
  <c r="AW50" i="8"/>
  <c r="AX49" i="8"/>
  <c r="AX16" i="13" s="1"/>
  <c r="AX25" i="13" s="1"/>
  <c r="AX26" i="13" s="1"/>
  <c r="AY47" i="8"/>
  <c r="L15" i="8" l="1"/>
  <c r="K15" i="8"/>
  <c r="J15" i="8" s="1"/>
  <c r="AQ60" i="9"/>
  <c r="AQ59" i="9"/>
  <c r="AQ63" i="9"/>
  <c r="AQ41" i="13" s="1"/>
  <c r="AS11" i="9"/>
  <c r="AQ51" i="9"/>
  <c r="AS25" i="9"/>
  <c r="AR50" i="9"/>
  <c r="AR58" i="9" s="1"/>
  <c r="AS29" i="9"/>
  <c r="AR27" i="9"/>
  <c r="AS6" i="9"/>
  <c r="AX58" i="8"/>
  <c r="AZ48" i="8"/>
  <c r="AY49" i="8"/>
  <c r="AY16" i="13" s="1"/>
  <c r="AY25" i="13" s="1"/>
  <c r="AY26" i="13" s="1"/>
  <c r="AX50" i="8"/>
  <c r="AZ47" i="8"/>
  <c r="L27" i="8"/>
  <c r="K27" i="8"/>
  <c r="J27" i="8" s="1"/>
  <c r="K25" i="8"/>
  <c r="J25" i="8" s="1"/>
  <c r="L25" i="8"/>
  <c r="AR63" i="9" l="1"/>
  <c r="AR41" i="13" s="1"/>
  <c r="AR59" i="9"/>
  <c r="AR60" i="9"/>
  <c r="AZ21" i="13"/>
  <c r="L48" i="8"/>
  <c r="K48" i="8"/>
  <c r="J48" i="8" s="1"/>
  <c r="AS50" i="9"/>
  <c r="AS58" i="9" s="1"/>
  <c r="AT29" i="9"/>
  <c r="AR51" i="9"/>
  <c r="AT6" i="9"/>
  <c r="AS27" i="9"/>
  <c r="AT25" i="9"/>
  <c r="AT11" i="9"/>
  <c r="AZ49" i="8"/>
  <c r="AZ58" i="8" s="1"/>
  <c r="L34" i="8"/>
  <c r="K34" i="8"/>
  <c r="J34" i="8" s="1"/>
  <c r="AY58" i="8"/>
  <c r="AY50" i="8"/>
  <c r="L65" i="8"/>
  <c r="L47" i="8"/>
  <c r="K47" i="8"/>
  <c r="J47" i="8" s="1"/>
  <c r="AS63" i="9" l="1"/>
  <c r="AS41" i="13" s="1"/>
  <c r="AS60" i="9"/>
  <c r="AS59" i="9"/>
  <c r="K21" i="13"/>
  <c r="L33" i="13"/>
  <c r="K33" i="13" s="1"/>
  <c r="L21" i="13"/>
  <c r="AU25" i="9"/>
  <c r="AU29" i="9"/>
  <c r="AT50" i="9"/>
  <c r="AT58" i="9" s="1"/>
  <c r="AU11" i="9"/>
  <c r="AU6" i="9"/>
  <c r="AT27" i="9"/>
  <c r="AS51" i="9"/>
  <c r="AZ16" i="13"/>
  <c r="L34" i="13" s="1"/>
  <c r="K34" i="13" s="1"/>
  <c r="L66" i="8"/>
  <c r="AZ50" i="8"/>
  <c r="L63" i="8" s="1"/>
  <c r="AZ25" i="13" l="1"/>
  <c r="AT59" i="9"/>
  <c r="AT60" i="9"/>
  <c r="AT63" i="9"/>
  <c r="AT41" i="13" s="1"/>
  <c r="AT51" i="9"/>
  <c r="AU27" i="9"/>
  <c r="AV6" i="9"/>
  <c r="AU50" i="9"/>
  <c r="AU58" i="9" s="1"/>
  <c r="AV29" i="9"/>
  <c r="AV11" i="9"/>
  <c r="AV25" i="9"/>
  <c r="L67" i="8"/>
  <c r="K16" i="13"/>
  <c r="L16" i="13"/>
  <c r="AU63" i="9" l="1"/>
  <c r="AU41" i="13"/>
  <c r="L25" i="13"/>
  <c r="AZ26" i="13"/>
  <c r="K25" i="13"/>
  <c r="AU59" i="9"/>
  <c r="AU60" i="9"/>
  <c r="AW11" i="9"/>
  <c r="AV50" i="9"/>
  <c r="AV58" i="9" s="1"/>
  <c r="AW29" i="9"/>
  <c r="AW25" i="9"/>
  <c r="AU51" i="9"/>
  <c r="AW6" i="9"/>
  <c r="AV27" i="9"/>
  <c r="AV60" i="9" l="1"/>
  <c r="AV59" i="9"/>
  <c r="AV63" i="9"/>
  <c r="AV41" i="13" s="1"/>
  <c r="AW50" i="9"/>
  <c r="AW58" i="9" s="1"/>
  <c r="AX29" i="9"/>
  <c r="AV51" i="9"/>
  <c r="AX6" i="9"/>
  <c r="AW27" i="9"/>
  <c r="AX25" i="9"/>
  <c r="AX11" i="9"/>
  <c r="AW63" i="9" l="1"/>
  <c r="AW41" i="13" s="1"/>
  <c r="AW60" i="9"/>
  <c r="AW59" i="9"/>
  <c r="AY11" i="9"/>
  <c r="AW51" i="9"/>
  <c r="AY25" i="9"/>
  <c r="AX50" i="9"/>
  <c r="AX58" i="9" s="1"/>
  <c r="AY29" i="9"/>
  <c r="AX27" i="9"/>
  <c r="AY6" i="9"/>
  <c r="AX63" i="9" l="1"/>
  <c r="AX41" i="13" s="1"/>
  <c r="AX60" i="9"/>
  <c r="AX59" i="9"/>
  <c r="AZ25" i="9"/>
  <c r="AZ11" i="9"/>
  <c r="AZ29" i="9"/>
  <c r="AY50" i="9"/>
  <c r="AY58" i="9" s="1"/>
  <c r="AZ6" i="9"/>
  <c r="AY27" i="9"/>
  <c r="AX51" i="9"/>
  <c r="AY63" i="9" l="1"/>
  <c r="AY41" i="13" s="1"/>
  <c r="AY59" i="9"/>
  <c r="AY60" i="9"/>
  <c r="AZ50" i="9"/>
  <c r="K29" i="9"/>
  <c r="J29" i="9" s="1"/>
  <c r="L29" i="9"/>
  <c r="AZ27" i="9"/>
  <c r="L6" i="9"/>
  <c r="K6" i="9"/>
  <c r="J6" i="9" s="1"/>
  <c r="K11" i="9"/>
  <c r="J11" i="9" s="1"/>
  <c r="L11" i="9"/>
  <c r="L25" i="9"/>
  <c r="K25" i="9"/>
  <c r="J25" i="9" s="1"/>
  <c r="AY51" i="9"/>
  <c r="AZ58" i="9" l="1"/>
  <c r="AZ51" i="9"/>
  <c r="K50" i="9"/>
  <c r="J50" i="9" s="1"/>
  <c r="L50" i="9"/>
  <c r="AZ63" i="9"/>
  <c r="AZ41" i="13" s="1"/>
  <c r="K27" i="9"/>
  <c r="J27" i="9" s="1"/>
  <c r="L27" i="9"/>
  <c r="L21" i="8"/>
  <c r="E295" i="12" s="1"/>
  <c r="L49" i="8"/>
  <c r="K49" i="8"/>
  <c r="J49" i="8" s="1"/>
  <c r="AZ59" i="9" l="1"/>
  <c r="AZ60" i="9"/>
  <c r="K51" i="9"/>
  <c r="J51" i="9" s="1"/>
  <c r="L51" i="9"/>
  <c r="L44" i="13"/>
  <c r="K44" i="13" s="1"/>
  <c r="L63" i="9"/>
  <c r="K63" i="9"/>
  <c r="J63" i="9" s="1"/>
  <c r="L42" i="8"/>
  <c r="L59" i="9" l="1"/>
  <c r="K59" i="9"/>
  <c r="J59" i="9" s="1"/>
  <c r="L35" i="13"/>
  <c r="K35" i="13" s="1"/>
  <c r="L24" i="13"/>
  <c r="L32" i="13"/>
  <c r="K32" i="13" s="1"/>
  <c r="K24" i="13"/>
  <c r="K23" i="13"/>
  <c r="L23" i="13"/>
  <c r="K60" i="9"/>
  <c r="L60" i="9"/>
  <c r="K41" i="13"/>
  <c r="L41" i="13"/>
  <c r="K20" i="8"/>
  <c r="J20" i="8" s="1"/>
  <c r="J60" i="9" l="1"/>
  <c r="E301" i="12"/>
  <c r="K26" i="13"/>
  <c r="L26" i="13"/>
  <c r="K58" i="9" l="1"/>
  <c r="J58" i="9" s="1"/>
  <c r="L58" i="9"/>
  <c r="L46" i="8"/>
  <c r="K46" i="8"/>
  <c r="J46" i="8" s="1"/>
  <c r="E300" i="12" l="1"/>
  <c r="L58" i="8"/>
  <c r="K58" i="8"/>
  <c r="J58" i="8" s="1"/>
  <c r="I45" i="1" l="1"/>
  <c r="D45" i="1"/>
  <c r="K111" i="10" l="1"/>
  <c r="L111" i="10"/>
  <c r="J111" i="10"/>
  <c r="H111" i="10"/>
  <c r="I111" i="10"/>
  <c r="M111" i="10"/>
  <c r="R111" i="10"/>
  <c r="N111" i="10"/>
  <c r="P111" i="10"/>
  <c r="O111" i="10"/>
  <c r="Q111" i="10"/>
  <c r="N110" i="10"/>
  <c r="J46" i="1" s="1"/>
  <c r="Q87" i="3" s="1"/>
  <c r="W87" i="3" s="1"/>
  <c r="Q110" i="10"/>
  <c r="J49" i="1" s="1"/>
  <c r="Q90" i="3" s="1"/>
  <c r="W90" i="3" s="1"/>
  <c r="O110" i="10"/>
  <c r="J47" i="1" s="1"/>
  <c r="Q88" i="3" s="1"/>
  <c r="W88" i="3" s="1"/>
  <c r="R110" i="10"/>
  <c r="J50" i="1" s="1"/>
  <c r="Q91" i="3" s="1"/>
  <c r="W91" i="3" s="1"/>
  <c r="P110" i="10"/>
  <c r="J48" i="1" s="1"/>
  <c r="Q89" i="3" s="1"/>
  <c r="W89" i="3" s="1"/>
  <c r="H108" i="10"/>
  <c r="H109" i="10"/>
  <c r="M109" i="10"/>
  <c r="K108" i="10"/>
  <c r="L108" i="10"/>
  <c r="M108" i="10"/>
  <c r="K109" i="10"/>
  <c r="I109" i="10"/>
  <c r="L109" i="10"/>
  <c r="J109" i="10"/>
  <c r="J108" i="10"/>
  <c r="I108" i="10"/>
  <c r="J110" i="10"/>
  <c r="E48" i="1" s="1"/>
  <c r="Q95" i="3" s="1"/>
  <c r="I110" i="10"/>
  <c r="E47" i="1" s="1"/>
  <c r="Q94" i="3" s="1"/>
  <c r="K110" i="10"/>
  <c r="E49" i="1" s="1"/>
  <c r="Q96" i="3" s="1"/>
  <c r="H110" i="10"/>
  <c r="E46" i="1" s="1"/>
  <c r="Q93" i="3" s="1"/>
  <c r="L110" i="10"/>
  <c r="E50" i="1" s="1"/>
  <c r="Q97" i="3" s="1"/>
  <c r="M110" i="10"/>
  <c r="N109" i="10"/>
  <c r="P108" i="10"/>
  <c r="R108" i="10"/>
  <c r="Q109" i="10"/>
  <c r="R109" i="10"/>
  <c r="Q108" i="10"/>
  <c r="P109" i="10"/>
  <c r="O109" i="10"/>
  <c r="N108" i="10"/>
  <c r="O108" i="10"/>
  <c r="Q110" i="3"/>
  <c r="I61" i="3"/>
  <c r="I60" i="3"/>
  <c r="I59" i="3"/>
  <c r="I58" i="3"/>
  <c r="I57" i="3"/>
  <c r="I55" i="3"/>
  <c r="I52" i="3"/>
  <c r="I51" i="3"/>
  <c r="I50" i="3"/>
  <c r="I45" i="3"/>
  <c r="I43" i="3"/>
  <c r="O43" i="3" s="1"/>
  <c r="I42" i="3"/>
  <c r="I41" i="3"/>
  <c r="I40" i="3"/>
  <c r="I39" i="3"/>
  <c r="I38" i="3"/>
  <c r="I37" i="3"/>
  <c r="I12" i="3"/>
  <c r="I8" i="3"/>
  <c r="I7" i="3"/>
  <c r="I6" i="3"/>
  <c r="N55" i="3"/>
  <c r="H50" i="3"/>
  <c r="N50" i="3" s="1"/>
  <c r="O50" i="3" l="1"/>
  <c r="P50" i="3" s="1"/>
  <c r="Q50" i="3" s="1"/>
  <c r="R50" i="3" s="1"/>
  <c r="S50" i="3" s="1"/>
  <c r="T50" i="3" s="1"/>
  <c r="U50" i="3" s="1"/>
  <c r="V50" i="3" s="1"/>
  <c r="W50" i="3" s="1"/>
  <c r="X50" i="3" s="1"/>
  <c r="Y50" i="3" s="1"/>
  <c r="Z50" i="3" s="1"/>
  <c r="AA50" i="3" s="1"/>
  <c r="AB50" i="3" s="1"/>
  <c r="AC50" i="3" s="1"/>
  <c r="AD50" i="3" s="1"/>
  <c r="AE50" i="3" s="1"/>
  <c r="AF50" i="3" s="1"/>
  <c r="AG50" i="3" s="1"/>
  <c r="AH50" i="3" s="1"/>
  <c r="AI50" i="3" s="1"/>
  <c r="AJ50" i="3" s="1"/>
  <c r="AK50" i="3" s="1"/>
  <c r="AL50" i="3" s="1"/>
  <c r="AM50" i="3" s="1"/>
  <c r="AN50" i="3" s="1"/>
  <c r="AO50" i="3" s="1"/>
  <c r="AP50" i="3" s="1"/>
  <c r="AQ50" i="3" s="1"/>
  <c r="AR50" i="3" s="1"/>
  <c r="AS50" i="3" s="1"/>
  <c r="AT50" i="3" s="1"/>
  <c r="AU50" i="3" s="1"/>
  <c r="AV50" i="3" s="1"/>
  <c r="AW50" i="3" s="1"/>
  <c r="AX50" i="3" s="1"/>
  <c r="AY50" i="3" s="1"/>
  <c r="AZ50" i="3" s="1"/>
  <c r="BA50" i="3" s="1"/>
  <c r="O55" i="3"/>
  <c r="P55" i="3" s="1"/>
  <c r="Q55" i="3" s="1"/>
  <c r="R55" i="3" s="1"/>
  <c r="S55" i="3" s="1"/>
  <c r="T55" i="3" s="1"/>
  <c r="U55" i="3" s="1"/>
  <c r="V55" i="3" s="1"/>
  <c r="W55" i="3" s="1"/>
  <c r="X55" i="3" s="1"/>
  <c r="Y55" i="3" s="1"/>
  <c r="Z55" i="3" s="1"/>
  <c r="AA55" i="3" s="1"/>
  <c r="AB55" i="3" s="1"/>
  <c r="AC55" i="3" s="1"/>
  <c r="AD55" i="3" s="1"/>
  <c r="AE55" i="3" s="1"/>
  <c r="AF55" i="3" s="1"/>
  <c r="AG55" i="3" s="1"/>
  <c r="AH55" i="3" s="1"/>
  <c r="AI55" i="3" s="1"/>
  <c r="AJ55" i="3" s="1"/>
  <c r="AK55" i="3" s="1"/>
  <c r="AL55" i="3" s="1"/>
  <c r="AM55" i="3" s="1"/>
  <c r="AN55" i="3" s="1"/>
  <c r="AO55" i="3" s="1"/>
  <c r="AP55" i="3" s="1"/>
  <c r="AQ55" i="3" s="1"/>
  <c r="AR55" i="3" s="1"/>
  <c r="AS55" i="3" s="1"/>
  <c r="AT55" i="3" s="1"/>
  <c r="AU55" i="3" s="1"/>
  <c r="AV55" i="3" s="1"/>
  <c r="AW55" i="3" s="1"/>
  <c r="AX55" i="3" s="1"/>
  <c r="AY55" i="3" s="1"/>
  <c r="AZ55" i="3" s="1"/>
  <c r="BA55" i="3" s="1"/>
  <c r="E29" i="3"/>
  <c r="F29" i="3" s="1"/>
  <c r="W94" i="3"/>
  <c r="E32" i="3"/>
  <c r="F32" i="3" s="1"/>
  <c r="W97" i="3"/>
  <c r="E28" i="3"/>
  <c r="F28" i="3" s="1"/>
  <c r="W93" i="3"/>
  <c r="E31" i="3"/>
  <c r="F31" i="3" s="1"/>
  <c r="W96" i="3"/>
  <c r="E30" i="3"/>
  <c r="F30" i="3" s="1"/>
  <c r="W95" i="3"/>
  <c r="E27" i="3"/>
  <c r="F27" i="3" s="1"/>
  <c r="E17" i="3"/>
  <c r="E24" i="3"/>
  <c r="F24" i="3" s="1"/>
  <c r="E14" i="3"/>
  <c r="E23" i="3"/>
  <c r="E13" i="3"/>
  <c r="E26" i="3"/>
  <c r="F26" i="3" s="1"/>
  <c r="E16" i="3"/>
  <c r="E25" i="3"/>
  <c r="F25" i="3" s="1"/>
  <c r="E15" i="3"/>
  <c r="E21" i="3"/>
  <c r="E22" i="3"/>
  <c r="E19" i="3"/>
  <c r="E18" i="3"/>
  <c r="E20" i="3"/>
  <c r="T88" i="3"/>
  <c r="X88" i="3" s="1"/>
  <c r="T87" i="3"/>
  <c r="X87" i="3" s="1"/>
  <c r="T91" i="3"/>
  <c r="X91" i="3" s="1"/>
  <c r="T89" i="3"/>
  <c r="X89" i="3" s="1"/>
  <c r="T90" i="3"/>
  <c r="X90" i="3" s="1"/>
  <c r="T95" i="3"/>
  <c r="X95" i="3" s="1"/>
  <c r="T94" i="3"/>
  <c r="X94" i="3" s="1"/>
  <c r="T93" i="3"/>
  <c r="X93" i="3" s="1"/>
  <c r="T96" i="3"/>
  <c r="X96" i="3" s="1"/>
  <c r="T97" i="3"/>
  <c r="X97" i="3" s="1"/>
  <c r="L11" i="3"/>
  <c r="F23" i="3" l="1"/>
  <c r="N23" i="3" s="1"/>
  <c r="N31" i="3"/>
  <c r="O31" i="3" s="1"/>
  <c r="P31" i="3" s="1"/>
  <c r="Q31" i="3" s="1"/>
  <c r="R31" i="3" s="1"/>
  <c r="S31" i="3" s="1"/>
  <c r="T31" i="3" s="1"/>
  <c r="U31" i="3" s="1"/>
  <c r="V31" i="3" s="1"/>
  <c r="W31" i="3" s="1"/>
  <c r="X31" i="3" s="1"/>
  <c r="Y31" i="3" s="1"/>
  <c r="Z31" i="3" s="1"/>
  <c r="AA31" i="3" s="1"/>
  <c r="AB31" i="3" s="1"/>
  <c r="AC31" i="3" s="1"/>
  <c r="AD31" i="3" s="1"/>
  <c r="AE31" i="3" s="1"/>
  <c r="AF31" i="3" s="1"/>
  <c r="AG31" i="3" s="1"/>
  <c r="AH31" i="3" s="1"/>
  <c r="AI31" i="3" s="1"/>
  <c r="AJ31" i="3" s="1"/>
  <c r="AK31" i="3" s="1"/>
  <c r="AL31" i="3" s="1"/>
  <c r="AM31" i="3" s="1"/>
  <c r="AN31" i="3" s="1"/>
  <c r="AO31" i="3" s="1"/>
  <c r="AP31" i="3" s="1"/>
  <c r="AQ31" i="3" s="1"/>
  <c r="AR31" i="3" s="1"/>
  <c r="AS31" i="3" s="1"/>
  <c r="AT31" i="3" s="1"/>
  <c r="AU31" i="3" s="1"/>
  <c r="AV31" i="3" s="1"/>
  <c r="AW31" i="3" s="1"/>
  <c r="AX31" i="3" s="1"/>
  <c r="AY31" i="3" s="1"/>
  <c r="AZ31" i="3" s="1"/>
  <c r="BA31" i="3" s="1"/>
  <c r="N24" i="3"/>
  <c r="O24" i="3" s="1"/>
  <c r="P24" i="3" s="1"/>
  <c r="Q24" i="3" s="1"/>
  <c r="R24" i="3" s="1"/>
  <c r="S24" i="3" s="1"/>
  <c r="T24" i="3" s="1"/>
  <c r="U24" i="3" s="1"/>
  <c r="V24" i="3" s="1"/>
  <c r="W24" i="3" s="1"/>
  <c r="X24" i="3" s="1"/>
  <c r="Y24" i="3" s="1"/>
  <c r="Z24" i="3" s="1"/>
  <c r="AA24" i="3" s="1"/>
  <c r="AB24" i="3" s="1"/>
  <c r="AC24" i="3" s="1"/>
  <c r="AD24" i="3" s="1"/>
  <c r="AE24" i="3" s="1"/>
  <c r="AF24" i="3" s="1"/>
  <c r="AG24" i="3" s="1"/>
  <c r="AH24" i="3" s="1"/>
  <c r="AI24" i="3" s="1"/>
  <c r="AJ24" i="3" s="1"/>
  <c r="AK24" i="3" s="1"/>
  <c r="AL24" i="3" s="1"/>
  <c r="AM24" i="3" s="1"/>
  <c r="AN24" i="3" s="1"/>
  <c r="AO24" i="3" s="1"/>
  <c r="AP24" i="3" s="1"/>
  <c r="AQ24" i="3" s="1"/>
  <c r="AR24" i="3" s="1"/>
  <c r="AS24" i="3" s="1"/>
  <c r="AT24" i="3" s="1"/>
  <c r="AU24" i="3" s="1"/>
  <c r="AV24" i="3" s="1"/>
  <c r="AW24" i="3" s="1"/>
  <c r="AX24" i="3" s="1"/>
  <c r="AY24" i="3" s="1"/>
  <c r="AZ24" i="3" s="1"/>
  <c r="BA24" i="3" s="1"/>
  <c r="N30" i="3"/>
  <c r="O30" i="3" s="1"/>
  <c r="P30" i="3" s="1"/>
  <c r="Q30" i="3" s="1"/>
  <c r="R30" i="3" s="1"/>
  <c r="S30" i="3" s="1"/>
  <c r="T30" i="3" s="1"/>
  <c r="U30" i="3" s="1"/>
  <c r="V30" i="3" s="1"/>
  <c r="W30" i="3" s="1"/>
  <c r="X30" i="3" s="1"/>
  <c r="Y30" i="3" s="1"/>
  <c r="Z30" i="3" s="1"/>
  <c r="AA30" i="3" s="1"/>
  <c r="AB30" i="3" s="1"/>
  <c r="AC30" i="3" s="1"/>
  <c r="AD30" i="3" s="1"/>
  <c r="AE30" i="3" s="1"/>
  <c r="AF30" i="3" s="1"/>
  <c r="AG30" i="3" s="1"/>
  <c r="AH30" i="3" s="1"/>
  <c r="AI30" i="3" s="1"/>
  <c r="AJ30" i="3" s="1"/>
  <c r="AK30" i="3" s="1"/>
  <c r="AL30" i="3" s="1"/>
  <c r="AM30" i="3" s="1"/>
  <c r="AN30" i="3" s="1"/>
  <c r="AO30" i="3" s="1"/>
  <c r="AP30" i="3" s="1"/>
  <c r="AQ30" i="3" s="1"/>
  <c r="AR30" i="3" s="1"/>
  <c r="AS30" i="3" s="1"/>
  <c r="AT30" i="3" s="1"/>
  <c r="AU30" i="3" s="1"/>
  <c r="AV30" i="3" s="1"/>
  <c r="AW30" i="3" s="1"/>
  <c r="AX30" i="3" s="1"/>
  <c r="AY30" i="3" s="1"/>
  <c r="AZ30" i="3" s="1"/>
  <c r="BA30" i="3" s="1"/>
  <c r="N25" i="3"/>
  <c r="O25" i="3" s="1"/>
  <c r="P25" i="3" s="1"/>
  <c r="Q25" i="3" s="1"/>
  <c r="R25" i="3" s="1"/>
  <c r="S25" i="3" s="1"/>
  <c r="T25" i="3" s="1"/>
  <c r="U25" i="3" s="1"/>
  <c r="V25" i="3" s="1"/>
  <c r="W25" i="3" s="1"/>
  <c r="X25" i="3" s="1"/>
  <c r="Y25" i="3" s="1"/>
  <c r="Z25" i="3" s="1"/>
  <c r="AA25" i="3" s="1"/>
  <c r="AB25" i="3" s="1"/>
  <c r="AC25" i="3" s="1"/>
  <c r="AD25" i="3" s="1"/>
  <c r="AE25" i="3" s="1"/>
  <c r="AF25" i="3" s="1"/>
  <c r="AG25" i="3" s="1"/>
  <c r="AH25" i="3" s="1"/>
  <c r="AI25" i="3" s="1"/>
  <c r="AJ25" i="3" s="1"/>
  <c r="AK25" i="3" s="1"/>
  <c r="AL25" i="3" s="1"/>
  <c r="AM25" i="3" s="1"/>
  <c r="AN25" i="3" s="1"/>
  <c r="AO25" i="3" s="1"/>
  <c r="AP25" i="3" s="1"/>
  <c r="AQ25" i="3" s="1"/>
  <c r="AR25" i="3" s="1"/>
  <c r="AS25" i="3" s="1"/>
  <c r="AT25" i="3" s="1"/>
  <c r="AU25" i="3" s="1"/>
  <c r="AV25" i="3" s="1"/>
  <c r="AW25" i="3" s="1"/>
  <c r="AX25" i="3" s="1"/>
  <c r="AY25" i="3" s="1"/>
  <c r="AZ25" i="3" s="1"/>
  <c r="BA25" i="3" s="1"/>
  <c r="N32" i="3"/>
  <c r="O32" i="3" s="1"/>
  <c r="P32" i="3" s="1"/>
  <c r="Q32" i="3" s="1"/>
  <c r="R32" i="3" s="1"/>
  <c r="S32" i="3" s="1"/>
  <c r="T32" i="3" s="1"/>
  <c r="U32" i="3" s="1"/>
  <c r="V32" i="3" s="1"/>
  <c r="W32" i="3" s="1"/>
  <c r="X32" i="3" s="1"/>
  <c r="Y32" i="3" s="1"/>
  <c r="Z32" i="3" s="1"/>
  <c r="AA32" i="3" s="1"/>
  <c r="AB32" i="3" s="1"/>
  <c r="AC32" i="3" s="1"/>
  <c r="AD32" i="3" s="1"/>
  <c r="AE32" i="3" s="1"/>
  <c r="AF32" i="3" s="1"/>
  <c r="AG32" i="3" s="1"/>
  <c r="AH32" i="3" s="1"/>
  <c r="AI32" i="3" s="1"/>
  <c r="AJ32" i="3" s="1"/>
  <c r="AK32" i="3" s="1"/>
  <c r="AL32" i="3" s="1"/>
  <c r="AM32" i="3" s="1"/>
  <c r="AN32" i="3" s="1"/>
  <c r="AO32" i="3" s="1"/>
  <c r="AP32" i="3" s="1"/>
  <c r="AQ32" i="3" s="1"/>
  <c r="AR32" i="3" s="1"/>
  <c r="AS32" i="3" s="1"/>
  <c r="AT32" i="3" s="1"/>
  <c r="AU32" i="3" s="1"/>
  <c r="AV32" i="3" s="1"/>
  <c r="AW32" i="3" s="1"/>
  <c r="AX32" i="3" s="1"/>
  <c r="AY32" i="3" s="1"/>
  <c r="AZ32" i="3" s="1"/>
  <c r="BA32" i="3" s="1"/>
  <c r="N26" i="3"/>
  <c r="O26" i="3" s="1"/>
  <c r="P26" i="3" s="1"/>
  <c r="Q26" i="3" s="1"/>
  <c r="R26" i="3" s="1"/>
  <c r="S26" i="3" s="1"/>
  <c r="T26" i="3" s="1"/>
  <c r="U26" i="3" s="1"/>
  <c r="V26" i="3" s="1"/>
  <c r="W26" i="3" s="1"/>
  <c r="X26" i="3" s="1"/>
  <c r="Y26" i="3" s="1"/>
  <c r="Z26" i="3" s="1"/>
  <c r="AA26" i="3" s="1"/>
  <c r="AB26" i="3" s="1"/>
  <c r="AC26" i="3" s="1"/>
  <c r="AD26" i="3" s="1"/>
  <c r="AE26" i="3" s="1"/>
  <c r="AF26" i="3" s="1"/>
  <c r="AG26" i="3" s="1"/>
  <c r="AH26" i="3" s="1"/>
  <c r="AI26" i="3" s="1"/>
  <c r="AJ26" i="3" s="1"/>
  <c r="AK26" i="3" s="1"/>
  <c r="AL26" i="3" s="1"/>
  <c r="AM26" i="3" s="1"/>
  <c r="AN26" i="3" s="1"/>
  <c r="AO26" i="3" s="1"/>
  <c r="AP26" i="3" s="1"/>
  <c r="AQ26" i="3" s="1"/>
  <c r="AR26" i="3" s="1"/>
  <c r="AS26" i="3" s="1"/>
  <c r="AT26" i="3" s="1"/>
  <c r="AU26" i="3" s="1"/>
  <c r="AV26" i="3" s="1"/>
  <c r="AW26" i="3" s="1"/>
  <c r="AX26" i="3" s="1"/>
  <c r="AY26" i="3" s="1"/>
  <c r="AZ26" i="3" s="1"/>
  <c r="BA26" i="3" s="1"/>
  <c r="N27" i="3"/>
  <c r="O27" i="3" s="1"/>
  <c r="P27" i="3" s="1"/>
  <c r="Q27" i="3" s="1"/>
  <c r="R27" i="3" s="1"/>
  <c r="S27" i="3" s="1"/>
  <c r="T27" i="3" s="1"/>
  <c r="U27" i="3" s="1"/>
  <c r="V27" i="3" s="1"/>
  <c r="W27" i="3" s="1"/>
  <c r="X27" i="3" s="1"/>
  <c r="Y27" i="3" s="1"/>
  <c r="Z27" i="3" s="1"/>
  <c r="AA27" i="3" s="1"/>
  <c r="AB27" i="3" s="1"/>
  <c r="AC27" i="3" s="1"/>
  <c r="AD27" i="3" s="1"/>
  <c r="AE27" i="3" s="1"/>
  <c r="AF27" i="3" s="1"/>
  <c r="AG27" i="3" s="1"/>
  <c r="AH27" i="3" s="1"/>
  <c r="AI27" i="3" s="1"/>
  <c r="AJ27" i="3" s="1"/>
  <c r="AK27" i="3" s="1"/>
  <c r="AL27" i="3" s="1"/>
  <c r="AM27" i="3" s="1"/>
  <c r="AN27" i="3" s="1"/>
  <c r="AO27" i="3" s="1"/>
  <c r="AP27" i="3" s="1"/>
  <c r="AQ27" i="3" s="1"/>
  <c r="AR27" i="3" s="1"/>
  <c r="AS27" i="3" s="1"/>
  <c r="AT27" i="3" s="1"/>
  <c r="AU27" i="3" s="1"/>
  <c r="AV27" i="3" s="1"/>
  <c r="AW27" i="3" s="1"/>
  <c r="AX27" i="3" s="1"/>
  <c r="AY27" i="3" s="1"/>
  <c r="AZ27" i="3" s="1"/>
  <c r="BA27" i="3" s="1"/>
  <c r="N28" i="3"/>
  <c r="N29" i="3"/>
  <c r="O29" i="3" s="1"/>
  <c r="P29" i="3" s="1"/>
  <c r="Q29" i="3" s="1"/>
  <c r="R29" i="3" s="1"/>
  <c r="S29" i="3" s="1"/>
  <c r="T29" i="3" s="1"/>
  <c r="U29" i="3" s="1"/>
  <c r="V29" i="3" s="1"/>
  <c r="W29" i="3" s="1"/>
  <c r="X29" i="3" s="1"/>
  <c r="Y29" i="3" s="1"/>
  <c r="Z29" i="3" s="1"/>
  <c r="AA29" i="3" s="1"/>
  <c r="AB29" i="3" s="1"/>
  <c r="AC29" i="3" s="1"/>
  <c r="AD29" i="3" s="1"/>
  <c r="AE29" i="3" s="1"/>
  <c r="AF29" i="3" s="1"/>
  <c r="AG29" i="3" s="1"/>
  <c r="AH29" i="3" s="1"/>
  <c r="AI29" i="3" s="1"/>
  <c r="AJ29" i="3" s="1"/>
  <c r="AK29" i="3" s="1"/>
  <c r="AL29" i="3" s="1"/>
  <c r="AM29" i="3" s="1"/>
  <c r="AN29" i="3" s="1"/>
  <c r="AO29" i="3" s="1"/>
  <c r="AP29" i="3" s="1"/>
  <c r="AQ29" i="3" s="1"/>
  <c r="AR29" i="3" s="1"/>
  <c r="AS29" i="3" s="1"/>
  <c r="AT29" i="3" s="1"/>
  <c r="AU29" i="3" s="1"/>
  <c r="AV29" i="3" s="1"/>
  <c r="AW29" i="3" s="1"/>
  <c r="AX29" i="3" s="1"/>
  <c r="AY29" i="3" s="1"/>
  <c r="AZ29" i="3" s="1"/>
  <c r="BA29" i="3" s="1"/>
  <c r="U89" i="3"/>
  <c r="U97" i="3"/>
  <c r="U88" i="3"/>
  <c r="U95" i="3"/>
  <c r="U87" i="3"/>
  <c r="U91" i="3"/>
  <c r="U96" i="3"/>
  <c r="U93" i="3"/>
  <c r="U94" i="3"/>
  <c r="U90" i="3"/>
  <c r="H51" i="3"/>
  <c r="N51" i="3" s="1"/>
  <c r="H52" i="3"/>
  <c r="L50" i="3"/>
  <c r="F87" i="3"/>
  <c r="O51" i="3" l="1"/>
  <c r="P51" i="3" s="1"/>
  <c r="Q51" i="3" s="1"/>
  <c r="R51" i="3" s="1"/>
  <c r="S51" i="3" s="1"/>
  <c r="T51" i="3" s="1"/>
  <c r="U51" i="3" s="1"/>
  <c r="V51" i="3" s="1"/>
  <c r="W51" i="3" s="1"/>
  <c r="X51" i="3" s="1"/>
  <c r="Y51" i="3" s="1"/>
  <c r="Z51" i="3" s="1"/>
  <c r="AA51" i="3" s="1"/>
  <c r="AB51" i="3" s="1"/>
  <c r="AC51" i="3" s="1"/>
  <c r="AD51" i="3" s="1"/>
  <c r="AE51" i="3" s="1"/>
  <c r="AF51" i="3" s="1"/>
  <c r="AG51" i="3" s="1"/>
  <c r="AH51" i="3" s="1"/>
  <c r="AI51" i="3" s="1"/>
  <c r="AJ51" i="3" s="1"/>
  <c r="AK51" i="3" s="1"/>
  <c r="AL51" i="3" s="1"/>
  <c r="AM51" i="3" s="1"/>
  <c r="AN51" i="3" s="1"/>
  <c r="AO51" i="3" s="1"/>
  <c r="AP51" i="3" s="1"/>
  <c r="AQ51" i="3" s="1"/>
  <c r="AR51" i="3" s="1"/>
  <c r="AS51" i="3" s="1"/>
  <c r="AT51" i="3" s="1"/>
  <c r="AU51" i="3" s="1"/>
  <c r="AV51" i="3" s="1"/>
  <c r="AW51" i="3" s="1"/>
  <c r="AX51" i="3" s="1"/>
  <c r="AY51" i="3" s="1"/>
  <c r="AZ51" i="3" s="1"/>
  <c r="BA51" i="3" s="1"/>
  <c r="O23" i="3"/>
  <c r="N36" i="3"/>
  <c r="O28" i="3"/>
  <c r="P28" i="3" s="1"/>
  <c r="Q28" i="3" s="1"/>
  <c r="R28" i="3" s="1"/>
  <c r="S28" i="3" s="1"/>
  <c r="T28" i="3" s="1"/>
  <c r="U28" i="3" s="1"/>
  <c r="V28" i="3" s="1"/>
  <c r="W28" i="3" s="1"/>
  <c r="X28" i="3" s="1"/>
  <c r="Y28" i="3" s="1"/>
  <c r="Z28" i="3" s="1"/>
  <c r="AA28" i="3" s="1"/>
  <c r="AB28" i="3" s="1"/>
  <c r="AC28" i="3" s="1"/>
  <c r="AD28" i="3" s="1"/>
  <c r="AE28" i="3" s="1"/>
  <c r="AF28" i="3" s="1"/>
  <c r="AG28" i="3" s="1"/>
  <c r="AH28" i="3" s="1"/>
  <c r="AI28" i="3" s="1"/>
  <c r="AJ28" i="3" s="1"/>
  <c r="AK28" i="3" s="1"/>
  <c r="AL28" i="3" s="1"/>
  <c r="AM28" i="3" s="1"/>
  <c r="AN28" i="3" s="1"/>
  <c r="AO28" i="3" s="1"/>
  <c r="AP28" i="3" s="1"/>
  <c r="AQ28" i="3" s="1"/>
  <c r="AR28" i="3" s="1"/>
  <c r="AS28" i="3" s="1"/>
  <c r="AT28" i="3" s="1"/>
  <c r="AU28" i="3" s="1"/>
  <c r="AV28" i="3" s="1"/>
  <c r="AW28" i="3" s="1"/>
  <c r="AX28" i="3" s="1"/>
  <c r="AY28" i="3" s="1"/>
  <c r="AZ28" i="3" s="1"/>
  <c r="BA28" i="3" s="1"/>
  <c r="N52" i="3"/>
  <c r="O52" i="3" s="1"/>
  <c r="P52" i="3" s="1"/>
  <c r="Q52" i="3" s="1"/>
  <c r="R52" i="3" s="1"/>
  <c r="S52" i="3" s="1"/>
  <c r="T52" i="3" s="1"/>
  <c r="U52" i="3" s="1"/>
  <c r="V52" i="3" s="1"/>
  <c r="W52" i="3" s="1"/>
  <c r="X52" i="3" s="1"/>
  <c r="Y52" i="3" s="1"/>
  <c r="Z52" i="3" s="1"/>
  <c r="AA52" i="3" s="1"/>
  <c r="AB52" i="3" s="1"/>
  <c r="AC52" i="3" s="1"/>
  <c r="AD52" i="3" s="1"/>
  <c r="AE52" i="3" s="1"/>
  <c r="AF52" i="3" s="1"/>
  <c r="AG52" i="3" s="1"/>
  <c r="AH52" i="3" s="1"/>
  <c r="AI52" i="3" s="1"/>
  <c r="AJ52" i="3" s="1"/>
  <c r="AK52" i="3" s="1"/>
  <c r="AL52" i="3" s="1"/>
  <c r="AM52" i="3" s="1"/>
  <c r="AN52" i="3" s="1"/>
  <c r="AO52" i="3" s="1"/>
  <c r="AP52" i="3" s="1"/>
  <c r="AQ52" i="3" s="1"/>
  <c r="AR52" i="3" s="1"/>
  <c r="AS52" i="3" s="1"/>
  <c r="AT52" i="3" s="1"/>
  <c r="AU52" i="3" s="1"/>
  <c r="AV52" i="3" s="1"/>
  <c r="AW52" i="3" s="1"/>
  <c r="AX52" i="3" s="1"/>
  <c r="AY52" i="3" s="1"/>
  <c r="AZ52" i="3" s="1"/>
  <c r="BA52" i="3" s="1"/>
  <c r="X98" i="3"/>
  <c r="Y98" i="3" s="1"/>
  <c r="M26" i="3"/>
  <c r="L26" i="3"/>
  <c r="L30" i="3"/>
  <c r="M27" i="3"/>
  <c r="L27" i="3"/>
  <c r="M31" i="3"/>
  <c r="M24" i="3"/>
  <c r="L29" i="3"/>
  <c r="L31" i="3"/>
  <c r="L32" i="3"/>
  <c r="L25" i="3"/>
  <c r="M29" i="3"/>
  <c r="M25" i="3"/>
  <c r="M30" i="3"/>
  <c r="L24" i="3"/>
  <c r="M32" i="3"/>
  <c r="E112" i="3"/>
  <c r="E103" i="3"/>
  <c r="F127" i="3"/>
  <c r="F122" i="3"/>
  <c r="F123" i="3" s="1"/>
  <c r="F117" i="3"/>
  <c r="F118" i="3" s="1"/>
  <c r="D112" i="3"/>
  <c r="F112" i="3" s="1"/>
  <c r="F113" i="3" s="1"/>
  <c r="D103" i="3"/>
  <c r="F108" i="3" s="1"/>
  <c r="E98" i="3"/>
  <c r="G92" i="3"/>
  <c r="G90" i="3"/>
  <c r="G91" i="3" s="1"/>
  <c r="E87" i="3"/>
  <c r="F96" i="3"/>
  <c r="F94" i="3"/>
  <c r="F90" i="3"/>
  <c r="F88" i="3"/>
  <c r="N6" i="3"/>
  <c r="O6" i="3" s="1"/>
  <c r="P6" i="3" s="1"/>
  <c r="Q6" i="3" s="1"/>
  <c r="R6" i="3" s="1"/>
  <c r="S6" i="3" s="1"/>
  <c r="T6" i="3" s="1"/>
  <c r="U6" i="3" s="1"/>
  <c r="V6" i="3" s="1"/>
  <c r="W6" i="3" s="1"/>
  <c r="X6" i="3" s="1"/>
  <c r="Y6" i="3" s="1"/>
  <c r="Z6" i="3" s="1"/>
  <c r="AA6" i="3" s="1"/>
  <c r="AB6" i="3" s="1"/>
  <c r="AC6" i="3" s="1"/>
  <c r="AD6" i="3" s="1"/>
  <c r="AE6" i="3" s="1"/>
  <c r="AF6" i="3" s="1"/>
  <c r="AG6" i="3" s="1"/>
  <c r="AH6" i="3" s="1"/>
  <c r="AI6" i="3" s="1"/>
  <c r="AJ6" i="3" s="1"/>
  <c r="AK6" i="3" s="1"/>
  <c r="AL6" i="3" s="1"/>
  <c r="AM6" i="3" s="1"/>
  <c r="AN6" i="3" s="1"/>
  <c r="AO6" i="3" s="1"/>
  <c r="AP6" i="3" s="1"/>
  <c r="AQ6" i="3" s="1"/>
  <c r="AR6" i="3" s="1"/>
  <c r="AS6" i="3" s="1"/>
  <c r="AT6" i="3" s="1"/>
  <c r="AU6" i="3" s="1"/>
  <c r="AV6" i="3" s="1"/>
  <c r="AW6" i="3" s="1"/>
  <c r="AX6" i="3" s="1"/>
  <c r="AY6" i="3" s="1"/>
  <c r="AZ6" i="3" s="1"/>
  <c r="BA6" i="3" s="1"/>
  <c r="P23" i="3" l="1"/>
  <c r="O36" i="3"/>
  <c r="M28" i="3"/>
  <c r="L28" i="3"/>
  <c r="F89" i="3"/>
  <c r="F97" i="3"/>
  <c r="H97" i="3" s="1"/>
  <c r="B85" i="3"/>
  <c r="M42" i="13"/>
  <c r="G93" i="3"/>
  <c r="F91" i="3"/>
  <c r="H91" i="3" s="1"/>
  <c r="F95" i="3"/>
  <c r="H127" i="3"/>
  <c r="F128" i="3"/>
  <c r="H128" i="3" s="1"/>
  <c r="F19" i="3"/>
  <c r="N19" i="3" s="1"/>
  <c r="F18" i="3"/>
  <c r="N18" i="3" s="1"/>
  <c r="F20" i="3"/>
  <c r="N20" i="3" s="1"/>
  <c r="F21" i="3"/>
  <c r="N21" i="3" s="1"/>
  <c r="F22" i="3"/>
  <c r="N22" i="3" s="1"/>
  <c r="H96" i="3"/>
  <c r="F17" i="3"/>
  <c r="N17" i="3" s="1"/>
  <c r="F14" i="3"/>
  <c r="N14" i="3" s="1"/>
  <c r="H90" i="3"/>
  <c r="G87" i="3"/>
  <c r="G122" i="3"/>
  <c r="G117" i="3"/>
  <c r="G112" i="3"/>
  <c r="G103" i="3"/>
  <c r="G104" i="3"/>
  <c r="G108" i="3"/>
  <c r="G100" i="3"/>
  <c r="H100" i="3" s="1"/>
  <c r="G101" i="3"/>
  <c r="H101" i="3" s="1"/>
  <c r="G102" i="3"/>
  <c r="H102" i="3" s="1"/>
  <c r="G98" i="3"/>
  <c r="G99" i="3"/>
  <c r="F130" i="3"/>
  <c r="H130" i="3" s="1"/>
  <c r="F131" i="3"/>
  <c r="H131" i="3" s="1"/>
  <c r="F129" i="3"/>
  <c r="H129" i="3" s="1"/>
  <c r="F125" i="3"/>
  <c r="F124" i="3"/>
  <c r="F126" i="3"/>
  <c r="F121" i="3"/>
  <c r="F119" i="3"/>
  <c r="F120" i="3"/>
  <c r="F114" i="3"/>
  <c r="F115" i="3"/>
  <c r="F116" i="3"/>
  <c r="F104" i="3"/>
  <c r="F103" i="3"/>
  <c r="G94" i="3"/>
  <c r="F92" i="3"/>
  <c r="F93" i="3" s="1"/>
  <c r="G88" i="3"/>
  <c r="G89" i="3" s="1"/>
  <c r="F16" i="3"/>
  <c r="F15" i="3"/>
  <c r="N15" i="3" s="1"/>
  <c r="J34" i="13" l="1"/>
  <c r="J33" i="13"/>
  <c r="J32" i="13"/>
  <c r="J29" i="13"/>
  <c r="J26" i="13"/>
  <c r="J25" i="13"/>
  <c r="J24" i="13"/>
  <c r="J23" i="13"/>
  <c r="J21" i="13"/>
  <c r="J20" i="13"/>
  <c r="J19" i="13"/>
  <c r="J16" i="13"/>
  <c r="J15" i="13"/>
  <c r="J14" i="13"/>
  <c r="J35" i="13"/>
  <c r="J44" i="13"/>
  <c r="J41" i="13"/>
  <c r="C85" i="3"/>
  <c r="Q23" i="3"/>
  <c r="P36" i="3"/>
  <c r="H89" i="3"/>
  <c r="G135" i="3"/>
  <c r="F139" i="3"/>
  <c r="F138" i="3"/>
  <c r="F140" i="3"/>
  <c r="F135" i="3"/>
  <c r="K56" i="3"/>
  <c r="K10" i="3"/>
  <c r="K9" i="3"/>
  <c r="K30" i="3"/>
  <c r="K63" i="3"/>
  <c r="K11" i="3"/>
  <c r="K50" i="3"/>
  <c r="K32" i="3"/>
  <c r="K26" i="3"/>
  <c r="K31" i="3"/>
  <c r="K29" i="3"/>
  <c r="K27" i="3"/>
  <c r="K24" i="3"/>
  <c r="K25" i="3"/>
  <c r="K28" i="3"/>
  <c r="F13" i="3"/>
  <c r="N13" i="3" s="1"/>
  <c r="N16" i="3"/>
  <c r="O16" i="3" s="1"/>
  <c r="P16" i="3" s="1"/>
  <c r="Q16" i="3" s="1"/>
  <c r="R16" i="3" s="1"/>
  <c r="S16" i="3" s="1"/>
  <c r="T16" i="3" s="1"/>
  <c r="U16" i="3" s="1"/>
  <c r="V16" i="3" s="1"/>
  <c r="W16" i="3" s="1"/>
  <c r="X16" i="3" s="1"/>
  <c r="Y16" i="3" s="1"/>
  <c r="Z16" i="3" s="1"/>
  <c r="AA16" i="3" s="1"/>
  <c r="AB16" i="3" s="1"/>
  <c r="AC16" i="3" s="1"/>
  <c r="AD16" i="3" s="1"/>
  <c r="AE16" i="3" s="1"/>
  <c r="AF16" i="3" s="1"/>
  <c r="AG16" i="3" s="1"/>
  <c r="AH16" i="3" s="1"/>
  <c r="AI16" i="3" s="1"/>
  <c r="AJ16" i="3" s="1"/>
  <c r="AK16" i="3" s="1"/>
  <c r="AL16" i="3" s="1"/>
  <c r="AM16" i="3" s="1"/>
  <c r="AN16" i="3" s="1"/>
  <c r="AO16" i="3" s="1"/>
  <c r="AP16" i="3" s="1"/>
  <c r="AQ16" i="3" s="1"/>
  <c r="AR16" i="3" s="1"/>
  <c r="AS16" i="3" s="1"/>
  <c r="AT16" i="3" s="1"/>
  <c r="AU16" i="3" s="1"/>
  <c r="AV16" i="3" s="1"/>
  <c r="AW16" i="3" s="1"/>
  <c r="AX16" i="3" s="1"/>
  <c r="AY16" i="3" s="1"/>
  <c r="AZ16" i="3" s="1"/>
  <c r="BA16" i="3" s="1"/>
  <c r="N42" i="13"/>
  <c r="M43" i="13"/>
  <c r="H93" i="3"/>
  <c r="O19" i="3"/>
  <c r="P19" i="3" s="1"/>
  <c r="Q19" i="3" s="1"/>
  <c r="R19" i="3" s="1"/>
  <c r="S19" i="3" s="1"/>
  <c r="T19" i="3" s="1"/>
  <c r="U19" i="3" s="1"/>
  <c r="V19" i="3" s="1"/>
  <c r="W19" i="3" s="1"/>
  <c r="X19" i="3" s="1"/>
  <c r="Y19" i="3" s="1"/>
  <c r="Z19" i="3" s="1"/>
  <c r="AA19" i="3" s="1"/>
  <c r="AB19" i="3" s="1"/>
  <c r="AC19" i="3" s="1"/>
  <c r="AD19" i="3" s="1"/>
  <c r="AE19" i="3" s="1"/>
  <c r="AF19" i="3" s="1"/>
  <c r="AG19" i="3" s="1"/>
  <c r="AH19" i="3" s="1"/>
  <c r="AI19" i="3" s="1"/>
  <c r="AJ19" i="3" s="1"/>
  <c r="AK19" i="3" s="1"/>
  <c r="AL19" i="3" s="1"/>
  <c r="AM19" i="3" s="1"/>
  <c r="AN19" i="3" s="1"/>
  <c r="AO19" i="3" s="1"/>
  <c r="AP19" i="3" s="1"/>
  <c r="AQ19" i="3" s="1"/>
  <c r="AR19" i="3" s="1"/>
  <c r="AS19" i="3" s="1"/>
  <c r="AT19" i="3" s="1"/>
  <c r="AU19" i="3" s="1"/>
  <c r="AV19" i="3" s="1"/>
  <c r="AW19" i="3" s="1"/>
  <c r="AX19" i="3" s="1"/>
  <c r="AY19" i="3" s="1"/>
  <c r="AZ19" i="3" s="1"/>
  <c r="BA19" i="3" s="1"/>
  <c r="O17" i="3"/>
  <c r="P17" i="3" s="1"/>
  <c r="Q17" i="3" s="1"/>
  <c r="R17" i="3" s="1"/>
  <c r="S17" i="3" s="1"/>
  <c r="T17" i="3" s="1"/>
  <c r="U17" i="3" s="1"/>
  <c r="V17" i="3" s="1"/>
  <c r="W17" i="3" s="1"/>
  <c r="X17" i="3" s="1"/>
  <c r="Y17" i="3" s="1"/>
  <c r="Z17" i="3" s="1"/>
  <c r="AA17" i="3" s="1"/>
  <c r="AB17" i="3" s="1"/>
  <c r="AC17" i="3" s="1"/>
  <c r="AD17" i="3" s="1"/>
  <c r="AE17" i="3" s="1"/>
  <c r="AF17" i="3" s="1"/>
  <c r="AG17" i="3" s="1"/>
  <c r="AH17" i="3" s="1"/>
  <c r="AI17" i="3" s="1"/>
  <c r="AJ17" i="3" s="1"/>
  <c r="AK17" i="3" s="1"/>
  <c r="AL17" i="3" s="1"/>
  <c r="AM17" i="3" s="1"/>
  <c r="AN17" i="3" s="1"/>
  <c r="AO17" i="3" s="1"/>
  <c r="AP17" i="3" s="1"/>
  <c r="AQ17" i="3" s="1"/>
  <c r="AR17" i="3" s="1"/>
  <c r="AS17" i="3" s="1"/>
  <c r="AT17" i="3" s="1"/>
  <c r="AU17" i="3" s="1"/>
  <c r="AV17" i="3" s="1"/>
  <c r="AW17" i="3" s="1"/>
  <c r="AX17" i="3" s="1"/>
  <c r="AY17" i="3" s="1"/>
  <c r="AZ17" i="3" s="1"/>
  <c r="BA17" i="3" s="1"/>
  <c r="G95" i="3"/>
  <c r="H95" i="3" s="1"/>
  <c r="O21" i="3"/>
  <c r="P21" i="3" s="1"/>
  <c r="Q21" i="3" s="1"/>
  <c r="R21" i="3" s="1"/>
  <c r="S21" i="3" s="1"/>
  <c r="T21" i="3" s="1"/>
  <c r="U21" i="3" s="1"/>
  <c r="V21" i="3" s="1"/>
  <c r="W21" i="3" s="1"/>
  <c r="X21" i="3" s="1"/>
  <c r="Y21" i="3" s="1"/>
  <c r="Z21" i="3" s="1"/>
  <c r="AA21" i="3" s="1"/>
  <c r="AB21" i="3" s="1"/>
  <c r="AC21" i="3" s="1"/>
  <c r="AD21" i="3" s="1"/>
  <c r="AE21" i="3" s="1"/>
  <c r="AF21" i="3" s="1"/>
  <c r="AG21" i="3" s="1"/>
  <c r="AH21" i="3" s="1"/>
  <c r="AI21" i="3" s="1"/>
  <c r="AJ21" i="3" s="1"/>
  <c r="AK21" i="3" s="1"/>
  <c r="AL21" i="3" s="1"/>
  <c r="AM21" i="3" s="1"/>
  <c r="AN21" i="3" s="1"/>
  <c r="AO21" i="3" s="1"/>
  <c r="AP21" i="3" s="1"/>
  <c r="AQ21" i="3" s="1"/>
  <c r="AR21" i="3" s="1"/>
  <c r="AS21" i="3" s="1"/>
  <c r="AT21" i="3" s="1"/>
  <c r="AU21" i="3" s="1"/>
  <c r="AV21" i="3" s="1"/>
  <c r="AW21" i="3" s="1"/>
  <c r="AX21" i="3" s="1"/>
  <c r="AY21" i="3" s="1"/>
  <c r="AZ21" i="3" s="1"/>
  <c r="BA21" i="3" s="1"/>
  <c r="H112" i="3"/>
  <c r="G113" i="3"/>
  <c r="H113" i="3" s="1"/>
  <c r="H99" i="3"/>
  <c r="H117" i="3"/>
  <c r="G118" i="3"/>
  <c r="H118" i="3" s="1"/>
  <c r="H122" i="3"/>
  <c r="G123" i="3"/>
  <c r="H123" i="3" s="1"/>
  <c r="O18" i="3"/>
  <c r="P18" i="3" s="1"/>
  <c r="Q18" i="3" s="1"/>
  <c r="R18" i="3" s="1"/>
  <c r="S18" i="3" s="1"/>
  <c r="T18" i="3" s="1"/>
  <c r="U18" i="3" s="1"/>
  <c r="V18" i="3" s="1"/>
  <c r="W18" i="3" s="1"/>
  <c r="X18" i="3" s="1"/>
  <c r="Y18" i="3" s="1"/>
  <c r="Z18" i="3" s="1"/>
  <c r="AA18" i="3" s="1"/>
  <c r="AB18" i="3" s="1"/>
  <c r="AC18" i="3" s="1"/>
  <c r="AD18" i="3" s="1"/>
  <c r="AE18" i="3" s="1"/>
  <c r="AF18" i="3" s="1"/>
  <c r="AG18" i="3" s="1"/>
  <c r="AH18" i="3" s="1"/>
  <c r="AI18" i="3" s="1"/>
  <c r="AJ18" i="3" s="1"/>
  <c r="AK18" i="3" s="1"/>
  <c r="AL18" i="3" s="1"/>
  <c r="AM18" i="3" s="1"/>
  <c r="AN18" i="3" s="1"/>
  <c r="AO18" i="3" s="1"/>
  <c r="AP18" i="3" s="1"/>
  <c r="AQ18" i="3" s="1"/>
  <c r="AR18" i="3" s="1"/>
  <c r="AS18" i="3" s="1"/>
  <c r="AT18" i="3" s="1"/>
  <c r="AU18" i="3" s="1"/>
  <c r="AV18" i="3" s="1"/>
  <c r="AW18" i="3" s="1"/>
  <c r="AX18" i="3" s="1"/>
  <c r="AY18" i="3" s="1"/>
  <c r="AZ18" i="3" s="1"/>
  <c r="BA18" i="3" s="1"/>
  <c r="O15" i="3"/>
  <c r="P15" i="3" s="1"/>
  <c r="Q15" i="3" s="1"/>
  <c r="R15" i="3" s="1"/>
  <c r="S15" i="3" s="1"/>
  <c r="T15" i="3" s="1"/>
  <c r="U15" i="3" s="1"/>
  <c r="V15" i="3" s="1"/>
  <c r="W15" i="3" s="1"/>
  <c r="X15" i="3" s="1"/>
  <c r="Y15" i="3" s="1"/>
  <c r="Z15" i="3" s="1"/>
  <c r="AA15" i="3" s="1"/>
  <c r="AB15" i="3" s="1"/>
  <c r="AC15" i="3" s="1"/>
  <c r="AD15" i="3" s="1"/>
  <c r="AE15" i="3" s="1"/>
  <c r="AF15" i="3" s="1"/>
  <c r="AG15" i="3" s="1"/>
  <c r="AH15" i="3" s="1"/>
  <c r="AI15" i="3" s="1"/>
  <c r="AJ15" i="3" s="1"/>
  <c r="AK15" i="3" s="1"/>
  <c r="AL15" i="3" s="1"/>
  <c r="AM15" i="3" s="1"/>
  <c r="AN15" i="3" s="1"/>
  <c r="AO15" i="3" s="1"/>
  <c r="AP15" i="3" s="1"/>
  <c r="AQ15" i="3" s="1"/>
  <c r="AR15" i="3" s="1"/>
  <c r="AS15" i="3" s="1"/>
  <c r="AT15" i="3" s="1"/>
  <c r="AU15" i="3" s="1"/>
  <c r="AV15" i="3" s="1"/>
  <c r="AW15" i="3" s="1"/>
  <c r="AX15" i="3" s="1"/>
  <c r="AY15" i="3" s="1"/>
  <c r="AZ15" i="3" s="1"/>
  <c r="BA15" i="3" s="1"/>
  <c r="O22" i="3"/>
  <c r="P22" i="3" s="1"/>
  <c r="Q22" i="3" s="1"/>
  <c r="R22" i="3" s="1"/>
  <c r="S22" i="3" s="1"/>
  <c r="T22" i="3" s="1"/>
  <c r="U22" i="3" s="1"/>
  <c r="V22" i="3" s="1"/>
  <c r="W22" i="3" s="1"/>
  <c r="X22" i="3" s="1"/>
  <c r="Y22" i="3" s="1"/>
  <c r="Z22" i="3" s="1"/>
  <c r="AA22" i="3" s="1"/>
  <c r="AB22" i="3" s="1"/>
  <c r="AC22" i="3" s="1"/>
  <c r="AD22" i="3" s="1"/>
  <c r="AE22" i="3" s="1"/>
  <c r="AF22" i="3" s="1"/>
  <c r="AG22" i="3" s="1"/>
  <c r="AH22" i="3" s="1"/>
  <c r="AI22" i="3" s="1"/>
  <c r="AJ22" i="3" s="1"/>
  <c r="AK22" i="3" s="1"/>
  <c r="AL22" i="3" s="1"/>
  <c r="AM22" i="3" s="1"/>
  <c r="AN22" i="3" s="1"/>
  <c r="AO22" i="3" s="1"/>
  <c r="AP22" i="3" s="1"/>
  <c r="AQ22" i="3" s="1"/>
  <c r="AR22" i="3" s="1"/>
  <c r="AS22" i="3" s="1"/>
  <c r="AT22" i="3" s="1"/>
  <c r="AU22" i="3" s="1"/>
  <c r="AV22" i="3" s="1"/>
  <c r="AW22" i="3" s="1"/>
  <c r="AX22" i="3" s="1"/>
  <c r="AY22" i="3" s="1"/>
  <c r="AZ22" i="3" s="1"/>
  <c r="BA22" i="3" s="1"/>
  <c r="H98" i="3"/>
  <c r="H92" i="3"/>
  <c r="O20" i="3"/>
  <c r="P20" i="3" s="1"/>
  <c r="Q20" i="3" s="1"/>
  <c r="R20" i="3" s="1"/>
  <c r="S20" i="3" s="1"/>
  <c r="T20" i="3" s="1"/>
  <c r="U20" i="3" s="1"/>
  <c r="V20" i="3" s="1"/>
  <c r="W20" i="3" s="1"/>
  <c r="X20" i="3" s="1"/>
  <c r="Y20" i="3" s="1"/>
  <c r="Z20" i="3" s="1"/>
  <c r="AA20" i="3" s="1"/>
  <c r="AB20" i="3" s="1"/>
  <c r="AC20" i="3" s="1"/>
  <c r="AD20" i="3" s="1"/>
  <c r="AE20" i="3" s="1"/>
  <c r="AF20" i="3" s="1"/>
  <c r="AG20" i="3" s="1"/>
  <c r="AH20" i="3" s="1"/>
  <c r="AI20" i="3" s="1"/>
  <c r="AJ20" i="3" s="1"/>
  <c r="AK20" i="3" s="1"/>
  <c r="AL20" i="3" s="1"/>
  <c r="AM20" i="3" s="1"/>
  <c r="AN20" i="3" s="1"/>
  <c r="AO20" i="3" s="1"/>
  <c r="AP20" i="3" s="1"/>
  <c r="AQ20" i="3" s="1"/>
  <c r="AR20" i="3" s="1"/>
  <c r="AS20" i="3" s="1"/>
  <c r="AT20" i="3" s="1"/>
  <c r="AU20" i="3" s="1"/>
  <c r="AV20" i="3" s="1"/>
  <c r="AW20" i="3" s="1"/>
  <c r="AX20" i="3" s="1"/>
  <c r="AY20" i="3" s="1"/>
  <c r="AZ20" i="3" s="1"/>
  <c r="BA20" i="3" s="1"/>
  <c r="H87" i="3"/>
  <c r="H108" i="3"/>
  <c r="H103" i="3"/>
  <c r="H94" i="3"/>
  <c r="H57" i="3"/>
  <c r="N57" i="3" s="1"/>
  <c r="H37" i="3"/>
  <c r="N37" i="3" s="1"/>
  <c r="F141" i="3"/>
  <c r="H104" i="3"/>
  <c r="H88" i="3"/>
  <c r="G126" i="3"/>
  <c r="H126" i="3" s="1"/>
  <c r="G124" i="3"/>
  <c r="H124" i="3" s="1"/>
  <c r="G125" i="3"/>
  <c r="H125" i="3" s="1"/>
  <c r="G120" i="3"/>
  <c r="H120" i="3" s="1"/>
  <c r="G119" i="3"/>
  <c r="H119" i="3" s="1"/>
  <c r="G121" i="3"/>
  <c r="H121" i="3" s="1"/>
  <c r="G116" i="3"/>
  <c r="H116" i="3" s="1"/>
  <c r="G115" i="3"/>
  <c r="H115" i="3" s="1"/>
  <c r="G114" i="3"/>
  <c r="G106" i="3"/>
  <c r="G107" i="3"/>
  <c r="G105" i="3"/>
  <c r="G109" i="3"/>
  <c r="G110" i="3"/>
  <c r="G111" i="3"/>
  <c r="F106" i="3"/>
  <c r="F107" i="3"/>
  <c r="F105" i="3"/>
  <c r="F109" i="3"/>
  <c r="F110" i="3"/>
  <c r="F111" i="3"/>
  <c r="O14" i="3"/>
  <c r="P14" i="3" s="1"/>
  <c r="Q14" i="3" s="1"/>
  <c r="R14" i="3" s="1"/>
  <c r="S14" i="3" s="1"/>
  <c r="T14" i="3" s="1"/>
  <c r="U14" i="3" s="1"/>
  <c r="V14" i="3" s="1"/>
  <c r="W14" i="3" s="1"/>
  <c r="X14" i="3" s="1"/>
  <c r="Y14" i="3" s="1"/>
  <c r="Z14" i="3" s="1"/>
  <c r="AA14" i="3" s="1"/>
  <c r="AB14" i="3" s="1"/>
  <c r="AC14" i="3" s="1"/>
  <c r="AD14" i="3" s="1"/>
  <c r="AE14" i="3" s="1"/>
  <c r="AF14" i="3" s="1"/>
  <c r="AG14" i="3" s="1"/>
  <c r="AH14" i="3" s="1"/>
  <c r="AI14" i="3" s="1"/>
  <c r="AJ14" i="3" s="1"/>
  <c r="AK14" i="3" s="1"/>
  <c r="AL14" i="3" s="1"/>
  <c r="AM14" i="3" s="1"/>
  <c r="AN14" i="3" s="1"/>
  <c r="AO14" i="3" s="1"/>
  <c r="AP14" i="3" s="1"/>
  <c r="AQ14" i="3" s="1"/>
  <c r="AR14" i="3" s="1"/>
  <c r="AS14" i="3" s="1"/>
  <c r="AT14" i="3" s="1"/>
  <c r="AU14" i="3" s="1"/>
  <c r="AV14" i="3" s="1"/>
  <c r="AW14" i="3" s="1"/>
  <c r="AX14" i="3" s="1"/>
  <c r="AY14" i="3" s="1"/>
  <c r="AZ14" i="3" s="1"/>
  <c r="BA14" i="3" s="1"/>
  <c r="O57" i="3" l="1"/>
  <c r="P57" i="3" s="1"/>
  <c r="Q57" i="3" s="1"/>
  <c r="R57" i="3" s="1"/>
  <c r="S57" i="3" s="1"/>
  <c r="T57" i="3" s="1"/>
  <c r="U57" i="3" s="1"/>
  <c r="V57" i="3" s="1"/>
  <c r="W57" i="3" s="1"/>
  <c r="X57" i="3" s="1"/>
  <c r="Y57" i="3" s="1"/>
  <c r="Z57" i="3" s="1"/>
  <c r="AA57" i="3" s="1"/>
  <c r="AB57" i="3" s="1"/>
  <c r="AC57" i="3" s="1"/>
  <c r="AD57" i="3" s="1"/>
  <c r="AE57" i="3" s="1"/>
  <c r="AF57" i="3" s="1"/>
  <c r="AG57" i="3" s="1"/>
  <c r="AH57" i="3" s="1"/>
  <c r="AI57" i="3" s="1"/>
  <c r="AJ57" i="3" s="1"/>
  <c r="AK57" i="3" s="1"/>
  <c r="AL57" i="3" s="1"/>
  <c r="AM57" i="3" s="1"/>
  <c r="AN57" i="3" s="1"/>
  <c r="AO57" i="3" s="1"/>
  <c r="AP57" i="3" s="1"/>
  <c r="AQ57" i="3" s="1"/>
  <c r="AR57" i="3" s="1"/>
  <c r="AS57" i="3" s="1"/>
  <c r="AT57" i="3" s="1"/>
  <c r="AU57" i="3" s="1"/>
  <c r="AV57" i="3" s="1"/>
  <c r="AW57" i="3" s="1"/>
  <c r="AX57" i="3" s="1"/>
  <c r="AY57" i="3" s="1"/>
  <c r="AZ57" i="3" s="1"/>
  <c r="BA57" i="3" s="1"/>
  <c r="N35" i="3"/>
  <c r="R23" i="3"/>
  <c r="Q36" i="3"/>
  <c r="H135" i="3"/>
  <c r="H38" i="3" s="1"/>
  <c r="G139" i="3"/>
  <c r="H139" i="3" s="1"/>
  <c r="G138" i="3"/>
  <c r="O37" i="3"/>
  <c r="G140" i="3"/>
  <c r="H140" i="3"/>
  <c r="P43" i="3"/>
  <c r="Q43" i="3" s="1"/>
  <c r="R43" i="3" s="1"/>
  <c r="S43" i="3" s="1"/>
  <c r="T43" i="3" s="1"/>
  <c r="U43" i="3" s="1"/>
  <c r="V43" i="3" s="1"/>
  <c r="W43" i="3" s="1"/>
  <c r="X43" i="3" s="1"/>
  <c r="Y43" i="3" s="1"/>
  <c r="Z43" i="3" s="1"/>
  <c r="AA43" i="3" s="1"/>
  <c r="AB43" i="3" s="1"/>
  <c r="AC43" i="3" s="1"/>
  <c r="AD43" i="3" s="1"/>
  <c r="AE43" i="3" s="1"/>
  <c r="AF43" i="3" s="1"/>
  <c r="AG43" i="3" s="1"/>
  <c r="AH43" i="3" s="1"/>
  <c r="AI43" i="3" s="1"/>
  <c r="AJ43" i="3" s="1"/>
  <c r="AK43" i="3" s="1"/>
  <c r="AL43" i="3" s="1"/>
  <c r="AM43" i="3" s="1"/>
  <c r="AN43" i="3" s="1"/>
  <c r="AO43" i="3" s="1"/>
  <c r="AP43" i="3" s="1"/>
  <c r="AQ43" i="3" s="1"/>
  <c r="AR43" i="3" s="1"/>
  <c r="AS43" i="3" s="1"/>
  <c r="AT43" i="3" s="1"/>
  <c r="AU43" i="3" s="1"/>
  <c r="AV43" i="3" s="1"/>
  <c r="AW43" i="3" s="1"/>
  <c r="AX43" i="3" s="1"/>
  <c r="AY43" i="3" s="1"/>
  <c r="AZ43" i="3" s="1"/>
  <c r="BA43" i="3" s="1"/>
  <c r="O13" i="3"/>
  <c r="O35" i="3" s="1"/>
  <c r="O42" i="13"/>
  <c r="N43" i="13"/>
  <c r="L51" i="3"/>
  <c r="K51" i="3" s="1"/>
  <c r="M55" i="3"/>
  <c r="M16" i="3"/>
  <c r="L19" i="3"/>
  <c r="K19" i="3" s="1"/>
  <c r="L55" i="3"/>
  <c r="K55" i="3" s="1"/>
  <c r="H105" i="3"/>
  <c r="L16" i="3"/>
  <c r="K16" i="3" s="1"/>
  <c r="L21" i="3"/>
  <c r="K21" i="3" s="1"/>
  <c r="H107" i="3"/>
  <c r="H106" i="3"/>
  <c r="M21" i="3"/>
  <c r="M19" i="3"/>
  <c r="M20" i="3"/>
  <c r="H110" i="3"/>
  <c r="H114" i="3"/>
  <c r="H109" i="3"/>
  <c r="G141" i="3"/>
  <c r="H141" i="3" s="1"/>
  <c r="H45" i="3" s="1"/>
  <c r="N45" i="3" s="1"/>
  <c r="H111" i="3"/>
  <c r="S23" i="3" l="1"/>
  <c r="R36" i="3"/>
  <c r="O45" i="3"/>
  <c r="P45" i="3" s="1"/>
  <c r="Q45" i="3" s="1"/>
  <c r="R45" i="3" s="1"/>
  <c r="S45" i="3" s="1"/>
  <c r="T45" i="3" s="1"/>
  <c r="U45" i="3" s="1"/>
  <c r="V45" i="3" s="1"/>
  <c r="W45" i="3" s="1"/>
  <c r="X45" i="3" s="1"/>
  <c r="Y45" i="3" s="1"/>
  <c r="Z45" i="3" s="1"/>
  <c r="AA45" i="3" s="1"/>
  <c r="AB45" i="3" s="1"/>
  <c r="AC45" i="3" s="1"/>
  <c r="AD45" i="3" s="1"/>
  <c r="AE45" i="3" s="1"/>
  <c r="AF45" i="3" s="1"/>
  <c r="AG45" i="3" s="1"/>
  <c r="AH45" i="3" s="1"/>
  <c r="AI45" i="3" s="1"/>
  <c r="AJ45" i="3" s="1"/>
  <c r="AK45" i="3" s="1"/>
  <c r="AL45" i="3" s="1"/>
  <c r="AM45" i="3" s="1"/>
  <c r="AN45" i="3" s="1"/>
  <c r="AO45" i="3" s="1"/>
  <c r="AP45" i="3" s="1"/>
  <c r="AQ45" i="3" s="1"/>
  <c r="AR45" i="3" s="1"/>
  <c r="AS45" i="3" s="1"/>
  <c r="AT45" i="3" s="1"/>
  <c r="AU45" i="3" s="1"/>
  <c r="AV45" i="3" s="1"/>
  <c r="AW45" i="3" s="1"/>
  <c r="AX45" i="3" s="1"/>
  <c r="AY45" i="3" s="1"/>
  <c r="AZ45" i="3" s="1"/>
  <c r="BA45" i="3" s="1"/>
  <c r="H138" i="3"/>
  <c r="H39" i="3" s="1"/>
  <c r="N39" i="3" s="1"/>
  <c r="O39" i="3" s="1"/>
  <c r="P39" i="3" s="1"/>
  <c r="Q39" i="3" s="1"/>
  <c r="R39" i="3" s="1"/>
  <c r="S39" i="3" s="1"/>
  <c r="T39" i="3" s="1"/>
  <c r="U39" i="3" s="1"/>
  <c r="V39" i="3" s="1"/>
  <c r="W39" i="3" s="1"/>
  <c r="X39" i="3" s="1"/>
  <c r="Y39" i="3" s="1"/>
  <c r="Z39" i="3" s="1"/>
  <c r="AA39" i="3" s="1"/>
  <c r="AB39" i="3" s="1"/>
  <c r="AC39" i="3" s="1"/>
  <c r="AD39" i="3" s="1"/>
  <c r="AE39" i="3" s="1"/>
  <c r="AF39" i="3" s="1"/>
  <c r="AG39" i="3" s="1"/>
  <c r="AH39" i="3" s="1"/>
  <c r="AI39" i="3" s="1"/>
  <c r="AJ39" i="3" s="1"/>
  <c r="AK39" i="3" s="1"/>
  <c r="AL39" i="3" s="1"/>
  <c r="AM39" i="3" s="1"/>
  <c r="AN39" i="3" s="1"/>
  <c r="AO39" i="3" s="1"/>
  <c r="AP39" i="3" s="1"/>
  <c r="AQ39" i="3" s="1"/>
  <c r="AR39" i="3" s="1"/>
  <c r="AS39" i="3" s="1"/>
  <c r="AT39" i="3" s="1"/>
  <c r="AU39" i="3" s="1"/>
  <c r="AV39" i="3" s="1"/>
  <c r="AW39" i="3" s="1"/>
  <c r="AX39" i="3" s="1"/>
  <c r="AY39" i="3" s="1"/>
  <c r="AZ39" i="3" s="1"/>
  <c r="BA39" i="3" s="1"/>
  <c r="P37" i="3"/>
  <c r="N38" i="3"/>
  <c r="P13" i="3"/>
  <c r="P35" i="3" s="1"/>
  <c r="P42" i="13"/>
  <c r="O43" i="13"/>
  <c r="L52" i="3"/>
  <c r="K52" i="3" s="1"/>
  <c r="M52" i="3"/>
  <c r="M15" i="3"/>
  <c r="L17" i="3"/>
  <c r="K17" i="3" s="1"/>
  <c r="M8" i="3"/>
  <c r="M17" i="3"/>
  <c r="L15" i="3"/>
  <c r="K15" i="3" s="1"/>
  <c r="M43" i="3"/>
  <c r="M57" i="3"/>
  <c r="L20" i="3"/>
  <c r="K20" i="3" s="1"/>
  <c r="L43" i="3"/>
  <c r="L22" i="3"/>
  <c r="K22" i="3" s="1"/>
  <c r="L57" i="3"/>
  <c r="K57" i="3" s="1"/>
  <c r="L8" i="3"/>
  <c r="K8" i="3" s="1"/>
  <c r="H58" i="3"/>
  <c r="N58" i="3" s="1"/>
  <c r="O58" i="3" s="1"/>
  <c r="P58" i="3" s="1"/>
  <c r="Q58" i="3" s="1"/>
  <c r="R58" i="3" s="1"/>
  <c r="S58" i="3" s="1"/>
  <c r="T58" i="3" s="1"/>
  <c r="U58" i="3" s="1"/>
  <c r="V58" i="3" s="1"/>
  <c r="W58" i="3" s="1"/>
  <c r="X58" i="3" s="1"/>
  <c r="Y58" i="3" s="1"/>
  <c r="Z58" i="3" s="1"/>
  <c r="AA58" i="3" s="1"/>
  <c r="AB58" i="3" s="1"/>
  <c r="AC58" i="3" s="1"/>
  <c r="AD58" i="3" s="1"/>
  <c r="AE58" i="3" s="1"/>
  <c r="AF58" i="3" s="1"/>
  <c r="AG58" i="3" s="1"/>
  <c r="AH58" i="3" s="1"/>
  <c r="AI58" i="3" s="1"/>
  <c r="AJ58" i="3" s="1"/>
  <c r="AK58" i="3" s="1"/>
  <c r="AL58" i="3" s="1"/>
  <c r="AM58" i="3" s="1"/>
  <c r="AN58" i="3" s="1"/>
  <c r="AO58" i="3" s="1"/>
  <c r="AP58" i="3" s="1"/>
  <c r="AQ58" i="3" s="1"/>
  <c r="AR58" i="3" s="1"/>
  <c r="AS58" i="3" s="1"/>
  <c r="AT58" i="3" s="1"/>
  <c r="AU58" i="3" s="1"/>
  <c r="AV58" i="3" s="1"/>
  <c r="AW58" i="3" s="1"/>
  <c r="AX58" i="3" s="1"/>
  <c r="AY58" i="3" s="1"/>
  <c r="AZ58" i="3" s="1"/>
  <c r="BA58" i="3" s="1"/>
  <c r="H60" i="3"/>
  <c r="N60" i="3" s="1"/>
  <c r="O60" i="3" s="1"/>
  <c r="P60" i="3" s="1"/>
  <c r="Q60" i="3" s="1"/>
  <c r="R60" i="3" s="1"/>
  <c r="S60" i="3" s="1"/>
  <c r="T60" i="3" s="1"/>
  <c r="U60" i="3" s="1"/>
  <c r="V60" i="3" s="1"/>
  <c r="W60" i="3" s="1"/>
  <c r="X60" i="3" s="1"/>
  <c r="Y60" i="3" s="1"/>
  <c r="Z60" i="3" s="1"/>
  <c r="AA60" i="3" s="1"/>
  <c r="AB60" i="3" s="1"/>
  <c r="AC60" i="3" s="1"/>
  <c r="AD60" i="3" s="1"/>
  <c r="AE60" i="3" s="1"/>
  <c r="AF60" i="3" s="1"/>
  <c r="AG60" i="3" s="1"/>
  <c r="AH60" i="3" s="1"/>
  <c r="AI60" i="3" s="1"/>
  <c r="AJ60" i="3" s="1"/>
  <c r="AK60" i="3" s="1"/>
  <c r="AL60" i="3" s="1"/>
  <c r="AM60" i="3" s="1"/>
  <c r="AN60" i="3" s="1"/>
  <c r="AO60" i="3" s="1"/>
  <c r="AP60" i="3" s="1"/>
  <c r="AQ60" i="3" s="1"/>
  <c r="AR60" i="3" s="1"/>
  <c r="AS60" i="3" s="1"/>
  <c r="AT60" i="3" s="1"/>
  <c r="AU60" i="3" s="1"/>
  <c r="AV60" i="3" s="1"/>
  <c r="AW60" i="3" s="1"/>
  <c r="AX60" i="3" s="1"/>
  <c r="AY60" i="3" s="1"/>
  <c r="AZ60" i="3" s="1"/>
  <c r="BA60" i="3" s="1"/>
  <c r="M22" i="3"/>
  <c r="H41" i="3" l="1"/>
  <c r="N41" i="3" s="1"/>
  <c r="O41" i="3" s="1"/>
  <c r="P41" i="3" s="1"/>
  <c r="Q41" i="3" s="1"/>
  <c r="R41" i="3" s="1"/>
  <c r="S41" i="3" s="1"/>
  <c r="T41" i="3" s="1"/>
  <c r="U41" i="3" s="1"/>
  <c r="V41" i="3" s="1"/>
  <c r="W41" i="3" s="1"/>
  <c r="X41" i="3" s="1"/>
  <c r="Y41" i="3" s="1"/>
  <c r="Z41" i="3" s="1"/>
  <c r="AA41" i="3" s="1"/>
  <c r="AB41" i="3" s="1"/>
  <c r="AC41" i="3" s="1"/>
  <c r="AD41" i="3" s="1"/>
  <c r="AE41" i="3" s="1"/>
  <c r="AF41" i="3" s="1"/>
  <c r="AG41" i="3" s="1"/>
  <c r="AH41" i="3" s="1"/>
  <c r="AI41" i="3" s="1"/>
  <c r="AJ41" i="3" s="1"/>
  <c r="AK41" i="3" s="1"/>
  <c r="AL41" i="3" s="1"/>
  <c r="AM41" i="3" s="1"/>
  <c r="AN41" i="3" s="1"/>
  <c r="AO41" i="3" s="1"/>
  <c r="AP41" i="3" s="1"/>
  <c r="AQ41" i="3" s="1"/>
  <c r="AR41" i="3" s="1"/>
  <c r="AS41" i="3" s="1"/>
  <c r="AT41" i="3" s="1"/>
  <c r="AU41" i="3" s="1"/>
  <c r="AV41" i="3" s="1"/>
  <c r="AW41" i="3" s="1"/>
  <c r="AX41" i="3" s="1"/>
  <c r="AY41" i="3" s="1"/>
  <c r="AZ41" i="3" s="1"/>
  <c r="BA41" i="3" s="1"/>
  <c r="H42" i="3"/>
  <c r="N42" i="3" s="1"/>
  <c r="O42" i="3" s="1"/>
  <c r="P42" i="3" s="1"/>
  <c r="Q42" i="3" s="1"/>
  <c r="R42" i="3" s="1"/>
  <c r="S42" i="3" s="1"/>
  <c r="T42" i="3" s="1"/>
  <c r="U42" i="3" s="1"/>
  <c r="V42" i="3" s="1"/>
  <c r="W42" i="3" s="1"/>
  <c r="X42" i="3" s="1"/>
  <c r="Y42" i="3" s="1"/>
  <c r="Z42" i="3" s="1"/>
  <c r="AA42" i="3" s="1"/>
  <c r="AB42" i="3" s="1"/>
  <c r="AC42" i="3" s="1"/>
  <c r="AD42" i="3" s="1"/>
  <c r="AE42" i="3" s="1"/>
  <c r="AF42" i="3" s="1"/>
  <c r="AG42" i="3" s="1"/>
  <c r="AH42" i="3" s="1"/>
  <c r="AI42" i="3" s="1"/>
  <c r="AJ42" i="3" s="1"/>
  <c r="AK42" i="3" s="1"/>
  <c r="AL42" i="3" s="1"/>
  <c r="AM42" i="3" s="1"/>
  <c r="AN42" i="3" s="1"/>
  <c r="AO42" i="3" s="1"/>
  <c r="AP42" i="3" s="1"/>
  <c r="AQ42" i="3" s="1"/>
  <c r="AR42" i="3" s="1"/>
  <c r="AS42" i="3" s="1"/>
  <c r="AT42" i="3" s="1"/>
  <c r="AU42" i="3" s="1"/>
  <c r="AV42" i="3" s="1"/>
  <c r="AW42" i="3" s="1"/>
  <c r="AX42" i="3" s="1"/>
  <c r="AY42" i="3" s="1"/>
  <c r="AZ42" i="3" s="1"/>
  <c r="BA42" i="3" s="1"/>
  <c r="T23" i="3"/>
  <c r="S36" i="3"/>
  <c r="H40" i="3"/>
  <c r="H59" i="3" s="1"/>
  <c r="N59" i="3" s="1"/>
  <c r="O59" i="3" s="1"/>
  <c r="P59" i="3" s="1"/>
  <c r="Q59" i="3" s="1"/>
  <c r="R59" i="3" s="1"/>
  <c r="S59" i="3" s="1"/>
  <c r="T59" i="3" s="1"/>
  <c r="U59" i="3" s="1"/>
  <c r="V59" i="3" s="1"/>
  <c r="W59" i="3" s="1"/>
  <c r="X59" i="3" s="1"/>
  <c r="Y59" i="3" s="1"/>
  <c r="Z59" i="3" s="1"/>
  <c r="AA59" i="3" s="1"/>
  <c r="AB59" i="3" s="1"/>
  <c r="AC59" i="3" s="1"/>
  <c r="AD59" i="3" s="1"/>
  <c r="AE59" i="3" s="1"/>
  <c r="AF59" i="3" s="1"/>
  <c r="AG59" i="3" s="1"/>
  <c r="AH59" i="3" s="1"/>
  <c r="AI59" i="3" s="1"/>
  <c r="AJ59" i="3" s="1"/>
  <c r="AK59" i="3" s="1"/>
  <c r="AL59" i="3" s="1"/>
  <c r="AM59" i="3" s="1"/>
  <c r="AN59" i="3" s="1"/>
  <c r="AO59" i="3" s="1"/>
  <c r="AP59" i="3" s="1"/>
  <c r="AQ59" i="3" s="1"/>
  <c r="AR59" i="3" s="1"/>
  <c r="AS59" i="3" s="1"/>
  <c r="AT59" i="3" s="1"/>
  <c r="AU59" i="3" s="1"/>
  <c r="AV59" i="3" s="1"/>
  <c r="AW59" i="3" s="1"/>
  <c r="AX59" i="3" s="1"/>
  <c r="AY59" i="3" s="1"/>
  <c r="AZ59" i="3" s="1"/>
  <c r="BA59" i="3" s="1"/>
  <c r="H61" i="3"/>
  <c r="N61" i="3" s="1"/>
  <c r="Q37" i="3"/>
  <c r="O38" i="3"/>
  <c r="K43" i="3"/>
  <c r="K44" i="3"/>
  <c r="Q42" i="13"/>
  <c r="P43" i="13"/>
  <c r="Q13" i="3"/>
  <c r="Q35" i="3" s="1"/>
  <c r="O61" i="3" l="1"/>
  <c r="P61" i="3" s="1"/>
  <c r="Q61" i="3" s="1"/>
  <c r="R61" i="3" s="1"/>
  <c r="S61" i="3" s="1"/>
  <c r="T61" i="3" s="1"/>
  <c r="U61" i="3" s="1"/>
  <c r="V61" i="3" s="1"/>
  <c r="W61" i="3" s="1"/>
  <c r="X61" i="3" s="1"/>
  <c r="Y61" i="3" s="1"/>
  <c r="Z61" i="3" s="1"/>
  <c r="AA61" i="3" s="1"/>
  <c r="AB61" i="3" s="1"/>
  <c r="AC61" i="3" s="1"/>
  <c r="AD61" i="3" s="1"/>
  <c r="AE61" i="3" s="1"/>
  <c r="AF61" i="3" s="1"/>
  <c r="AG61" i="3" s="1"/>
  <c r="AH61" i="3" s="1"/>
  <c r="AI61" i="3" s="1"/>
  <c r="AJ61" i="3" s="1"/>
  <c r="AK61" i="3" s="1"/>
  <c r="AL61" i="3" s="1"/>
  <c r="AM61" i="3" s="1"/>
  <c r="AN61" i="3" s="1"/>
  <c r="AO61" i="3" s="1"/>
  <c r="AP61" i="3" s="1"/>
  <c r="AQ61" i="3" s="1"/>
  <c r="AR61" i="3" s="1"/>
  <c r="AS61" i="3" s="1"/>
  <c r="AT61" i="3" s="1"/>
  <c r="AU61" i="3" s="1"/>
  <c r="AV61" i="3" s="1"/>
  <c r="AW61" i="3" s="1"/>
  <c r="AX61" i="3" s="1"/>
  <c r="AY61" i="3" s="1"/>
  <c r="AZ61" i="3" s="1"/>
  <c r="BA61" i="3" s="1"/>
  <c r="N62" i="3"/>
  <c r="U23" i="3"/>
  <c r="T36" i="3"/>
  <c r="O47" i="3"/>
  <c r="N3" i="13" s="1"/>
  <c r="N47" i="3"/>
  <c r="M3" i="13" s="1"/>
  <c r="N40" i="3"/>
  <c r="R37" i="3"/>
  <c r="P38" i="3"/>
  <c r="R13" i="3"/>
  <c r="R35" i="3" s="1"/>
  <c r="R42" i="13"/>
  <c r="Q43" i="13"/>
  <c r="P47" i="3"/>
  <c r="M60" i="3"/>
  <c r="L45" i="3"/>
  <c r="K45" i="3" s="1"/>
  <c r="L60" i="3"/>
  <c r="K60" i="3" s="1"/>
  <c r="M45" i="3"/>
  <c r="M61" i="3" l="1"/>
  <c r="L61" i="3"/>
  <c r="K61" i="3" s="1"/>
  <c r="V23" i="3"/>
  <c r="U36" i="3"/>
  <c r="N48" i="3"/>
  <c r="N64" i="3" s="1"/>
  <c r="N46" i="3"/>
  <c r="N65" i="3" s="1"/>
  <c r="O40" i="3"/>
  <c r="S37" i="3"/>
  <c r="Q38" i="3"/>
  <c r="Q47" i="3"/>
  <c r="O3" i="13"/>
  <c r="S42" i="13"/>
  <c r="R43" i="13"/>
  <c r="S13" i="3"/>
  <c r="S35" i="3" s="1"/>
  <c r="O62" i="3"/>
  <c r="P62" i="3"/>
  <c r="L59" i="3"/>
  <c r="K59" i="3" s="1"/>
  <c r="M59" i="3"/>
  <c r="W23" i="3" l="1"/>
  <c r="V36" i="3"/>
  <c r="M5" i="13"/>
  <c r="M6" i="13" s="1"/>
  <c r="M37" i="13" s="1"/>
  <c r="P40" i="3"/>
  <c r="O46" i="3"/>
  <c r="O65" i="3" s="1"/>
  <c r="O48" i="3"/>
  <c r="N4" i="13" s="1"/>
  <c r="M4" i="13"/>
  <c r="T37" i="3"/>
  <c r="R38" i="3"/>
  <c r="T42" i="13"/>
  <c r="S43" i="13"/>
  <c r="T13" i="3"/>
  <c r="T35" i="3" s="1"/>
  <c r="R47" i="3"/>
  <c r="X23" i="3" l="1"/>
  <c r="W36" i="3"/>
  <c r="Q40" i="3"/>
  <c r="P48" i="3"/>
  <c r="P46" i="3"/>
  <c r="P65" i="3" s="1"/>
  <c r="O64" i="3"/>
  <c r="U37" i="3"/>
  <c r="S38" i="3"/>
  <c r="U42" i="13"/>
  <c r="T43" i="13"/>
  <c r="P3" i="13"/>
  <c r="S47" i="3"/>
  <c r="U13" i="3"/>
  <c r="U35" i="3" s="1"/>
  <c r="Y23" i="3" l="1"/>
  <c r="X36" i="3"/>
  <c r="O4" i="13"/>
  <c r="R40" i="3"/>
  <c r="Q48" i="3"/>
  <c r="P4" i="13" s="1"/>
  <c r="Q46" i="3"/>
  <c r="N5" i="13"/>
  <c r="N6" i="13" s="1"/>
  <c r="N37" i="13" s="1"/>
  <c r="P64" i="3"/>
  <c r="O5" i="13" s="1"/>
  <c r="O6" i="13" s="1"/>
  <c r="O37" i="13" s="1"/>
  <c r="V37" i="3"/>
  <c r="T38" i="3"/>
  <c r="V13" i="3"/>
  <c r="V35" i="3" s="1"/>
  <c r="T47" i="3"/>
  <c r="R3" i="13"/>
  <c r="Q3" i="13"/>
  <c r="V42" i="13"/>
  <c r="U43" i="13"/>
  <c r="Z23" i="3" l="1"/>
  <c r="Y36" i="3"/>
  <c r="S40" i="3"/>
  <c r="R48" i="3"/>
  <c r="Q4" i="13" s="1"/>
  <c r="R46" i="3"/>
  <c r="W37" i="3"/>
  <c r="U38" i="3"/>
  <c r="U47" i="3"/>
  <c r="S3" i="13"/>
  <c r="W42" i="13"/>
  <c r="V43" i="13"/>
  <c r="W13" i="3"/>
  <c r="W35" i="3" s="1"/>
  <c r="AA23" i="3" l="1"/>
  <c r="Z36" i="3"/>
  <c r="T40" i="3"/>
  <c r="S46" i="3"/>
  <c r="S48" i="3"/>
  <c r="X37" i="3"/>
  <c r="V38" i="3"/>
  <c r="V47" i="3"/>
  <c r="T3" i="13"/>
  <c r="X42" i="13"/>
  <c r="W43" i="13"/>
  <c r="X13" i="3"/>
  <c r="X35" i="3" s="1"/>
  <c r="AB23" i="3" l="1"/>
  <c r="AA36" i="3"/>
  <c r="U40" i="3"/>
  <c r="T46" i="3"/>
  <c r="T48" i="3"/>
  <c r="S4" i="13" s="1"/>
  <c r="R4" i="13"/>
  <c r="Y37" i="3"/>
  <c r="W38" i="3"/>
  <c r="Y13" i="3"/>
  <c r="Y35" i="3" s="1"/>
  <c r="Y42" i="13"/>
  <c r="X43" i="13"/>
  <c r="W47" i="3"/>
  <c r="U3" i="13"/>
  <c r="AC23" i="3" l="1"/>
  <c r="AB36" i="3"/>
  <c r="V40" i="3"/>
  <c r="U48" i="3"/>
  <c r="T4" i="13" s="1"/>
  <c r="U46" i="3"/>
  <c r="Z37" i="3"/>
  <c r="X38" i="3"/>
  <c r="Z42" i="13"/>
  <c r="Y43" i="13"/>
  <c r="X47" i="3"/>
  <c r="V3" i="13"/>
  <c r="Z13" i="3"/>
  <c r="Z35" i="3" s="1"/>
  <c r="AD23" i="3" l="1"/>
  <c r="AC36" i="3"/>
  <c r="W40" i="3"/>
  <c r="V46" i="3"/>
  <c r="V48" i="3"/>
  <c r="U4" i="13" s="1"/>
  <c r="AA37" i="3"/>
  <c r="Y38" i="3"/>
  <c r="AA13" i="3"/>
  <c r="AA35" i="3" s="1"/>
  <c r="Y47" i="3"/>
  <c r="W3" i="13"/>
  <c r="AA42" i="13"/>
  <c r="Z43" i="13"/>
  <c r="AE23" i="3" l="1"/>
  <c r="AD36" i="3"/>
  <c r="X40" i="3"/>
  <c r="W48" i="3"/>
  <c r="V4" i="13" s="1"/>
  <c r="W46" i="3"/>
  <c r="AB37" i="3"/>
  <c r="Z38" i="3"/>
  <c r="AB42" i="13"/>
  <c r="AA43" i="13"/>
  <c r="Z47" i="3"/>
  <c r="X3" i="13"/>
  <c r="AB13" i="3"/>
  <c r="AB35" i="3" s="1"/>
  <c r="AF23" i="3" l="1"/>
  <c r="AE36" i="3"/>
  <c r="Y40" i="3"/>
  <c r="X46" i="3"/>
  <c r="X48" i="3"/>
  <c r="W4" i="13" s="1"/>
  <c r="AC37" i="3"/>
  <c r="AA38" i="3"/>
  <c r="AC13" i="3"/>
  <c r="AC35" i="3" s="1"/>
  <c r="AC42" i="13"/>
  <c r="AB43" i="13"/>
  <c r="AA47" i="3"/>
  <c r="Y3" i="13"/>
  <c r="AG23" i="3" l="1"/>
  <c r="AF36" i="3"/>
  <c r="Z40" i="3"/>
  <c r="Y48" i="3"/>
  <c r="X4" i="13" s="1"/>
  <c r="Y46" i="3"/>
  <c r="AD37" i="3"/>
  <c r="AB38" i="3"/>
  <c r="AB47" i="3"/>
  <c r="Z3" i="13"/>
  <c r="AD42" i="13"/>
  <c r="AC43" i="13"/>
  <c r="AD13" i="3"/>
  <c r="AD35" i="3" s="1"/>
  <c r="AH23" i="3" l="1"/>
  <c r="AG36" i="3"/>
  <c r="AA40" i="3"/>
  <c r="Z46" i="3"/>
  <c r="Z48" i="3"/>
  <c r="Y4" i="13" s="1"/>
  <c r="AE37" i="3"/>
  <c r="AC38" i="3"/>
  <c r="AE13" i="3"/>
  <c r="AE35" i="3" s="1"/>
  <c r="AE42" i="13"/>
  <c r="AD43" i="13"/>
  <c r="AC47" i="3"/>
  <c r="AA3" i="13"/>
  <c r="AI23" i="3" l="1"/>
  <c r="AH36" i="3"/>
  <c r="AB40" i="3"/>
  <c r="AA46" i="3"/>
  <c r="AA48" i="3"/>
  <c r="Z4" i="13" s="1"/>
  <c r="AF37" i="3"/>
  <c r="AD38" i="3"/>
  <c r="AF42" i="13"/>
  <c r="AE43" i="13"/>
  <c r="AF13" i="3"/>
  <c r="AF35" i="3" s="1"/>
  <c r="AD47" i="3"/>
  <c r="AB3" i="13"/>
  <c r="AJ23" i="3" l="1"/>
  <c r="AI36" i="3"/>
  <c r="AC40" i="3"/>
  <c r="AB48" i="3"/>
  <c r="AA4" i="13" s="1"/>
  <c r="AB46" i="3"/>
  <c r="AG37" i="3"/>
  <c r="AE38" i="3"/>
  <c r="AE47" i="3"/>
  <c r="AC3" i="13"/>
  <c r="AG42" i="13"/>
  <c r="AF43" i="13"/>
  <c r="AG13" i="3"/>
  <c r="AG35" i="3" s="1"/>
  <c r="AK23" i="3" l="1"/>
  <c r="AJ36" i="3"/>
  <c r="AD40" i="3"/>
  <c r="AC48" i="3"/>
  <c r="AB4" i="13" s="1"/>
  <c r="AC46" i="3"/>
  <c r="AH37" i="3"/>
  <c r="AF38" i="3"/>
  <c r="AH13" i="3"/>
  <c r="AH35" i="3" s="1"/>
  <c r="AH42" i="13"/>
  <c r="AG43" i="13"/>
  <c r="AF47" i="3"/>
  <c r="AD3" i="13"/>
  <c r="AL23" i="3" l="1"/>
  <c r="AK36" i="3"/>
  <c r="AE40" i="3"/>
  <c r="AD46" i="3"/>
  <c r="AD48" i="3"/>
  <c r="AC4" i="13" s="1"/>
  <c r="AI37" i="3"/>
  <c r="AG38" i="3"/>
  <c r="AI42" i="13"/>
  <c r="AH43" i="13"/>
  <c r="AI13" i="3"/>
  <c r="AI35" i="3" s="1"/>
  <c r="AG47" i="3"/>
  <c r="AE3" i="13"/>
  <c r="AM23" i="3" l="1"/>
  <c r="AL36" i="3"/>
  <c r="AF40" i="3"/>
  <c r="AE46" i="3"/>
  <c r="AE48" i="3"/>
  <c r="AD4" i="13" s="1"/>
  <c r="AJ37" i="3"/>
  <c r="AH38" i="3"/>
  <c r="AH47" i="3"/>
  <c r="AF3" i="13"/>
  <c r="AJ13" i="3"/>
  <c r="AJ35" i="3" s="1"/>
  <c r="AJ42" i="13"/>
  <c r="AI43" i="13"/>
  <c r="AN23" i="3" l="1"/>
  <c r="AM36" i="3"/>
  <c r="AG40" i="3"/>
  <c r="AF48" i="3"/>
  <c r="AE4" i="13" s="1"/>
  <c r="AF46" i="3"/>
  <c r="AK37" i="3"/>
  <c r="AI38" i="3"/>
  <c r="AK13" i="3"/>
  <c r="AK35" i="3" s="1"/>
  <c r="AI47" i="3"/>
  <c r="AG3" i="13"/>
  <c r="AK42" i="13"/>
  <c r="AJ43" i="13"/>
  <c r="AO23" i="3" l="1"/>
  <c r="AN36" i="3"/>
  <c r="AH40" i="3"/>
  <c r="AG48" i="3"/>
  <c r="AF4" i="13" s="1"/>
  <c r="AG46" i="3"/>
  <c r="AL37" i="3"/>
  <c r="AJ38" i="3"/>
  <c r="AL42" i="13"/>
  <c r="AK43" i="13"/>
  <c r="AJ47" i="3"/>
  <c r="AH3" i="13"/>
  <c r="AL13" i="3"/>
  <c r="AL35" i="3" s="1"/>
  <c r="AP23" i="3" l="1"/>
  <c r="AO36" i="3"/>
  <c r="AI40" i="3"/>
  <c r="AH46" i="3"/>
  <c r="AH48" i="3"/>
  <c r="AG4" i="13" s="1"/>
  <c r="AM37" i="3"/>
  <c r="AK38" i="3"/>
  <c r="AM42" i="13"/>
  <c r="AL43" i="13"/>
  <c r="AM13" i="3"/>
  <c r="AM35" i="3" s="1"/>
  <c r="AK47" i="3"/>
  <c r="AI3" i="13"/>
  <c r="AQ23" i="3" l="1"/>
  <c r="AP36" i="3"/>
  <c r="AJ40" i="3"/>
  <c r="AI46" i="3"/>
  <c r="AI48" i="3"/>
  <c r="AH4" i="13" s="1"/>
  <c r="AN37" i="3"/>
  <c r="AL38" i="3"/>
  <c r="AN13" i="3"/>
  <c r="AN35" i="3" s="1"/>
  <c r="AL47" i="3"/>
  <c r="AJ3" i="13"/>
  <c r="AN42" i="13"/>
  <c r="AM43" i="13"/>
  <c r="AR23" i="3" l="1"/>
  <c r="AQ36" i="3"/>
  <c r="AK40" i="3"/>
  <c r="AJ48" i="3"/>
  <c r="AI4" i="13" s="1"/>
  <c r="AJ46" i="3"/>
  <c r="AO37" i="3"/>
  <c r="AM38" i="3"/>
  <c r="AO42" i="13"/>
  <c r="AN43" i="13"/>
  <c r="AM47" i="3"/>
  <c r="AK3" i="13"/>
  <c r="AO13" i="3"/>
  <c r="AO35" i="3" s="1"/>
  <c r="AS23" i="3" l="1"/>
  <c r="AR36" i="3"/>
  <c r="AL40" i="3"/>
  <c r="AK48" i="3"/>
  <c r="AJ4" i="13" s="1"/>
  <c r="AK46" i="3"/>
  <c r="AP37" i="3"/>
  <c r="AN38" i="3"/>
  <c r="AP13" i="3"/>
  <c r="AP35" i="3" s="1"/>
  <c r="AP42" i="13"/>
  <c r="AO43" i="13"/>
  <c r="AN47" i="3"/>
  <c r="AL3" i="13"/>
  <c r="AT23" i="3" l="1"/>
  <c r="AS36" i="3"/>
  <c r="AM40" i="3"/>
  <c r="AL48" i="3"/>
  <c r="AK4" i="13" s="1"/>
  <c r="AL46" i="3"/>
  <c r="AQ37" i="3"/>
  <c r="AO38" i="3"/>
  <c r="AQ13" i="3"/>
  <c r="AQ35" i="3" s="1"/>
  <c r="AQ42" i="13"/>
  <c r="AP43" i="13"/>
  <c r="AO47" i="3"/>
  <c r="AM3" i="13"/>
  <c r="AU23" i="3" l="1"/>
  <c r="AT36" i="3"/>
  <c r="AN40" i="3"/>
  <c r="AM48" i="3"/>
  <c r="AL4" i="13" s="1"/>
  <c r="AM46" i="3"/>
  <c r="AR37" i="3"/>
  <c r="AP38" i="3"/>
  <c r="AP47" i="3"/>
  <c r="AN3" i="13"/>
  <c r="AR42" i="13"/>
  <c r="AQ43" i="13"/>
  <c r="AR13" i="3"/>
  <c r="AR35" i="3" s="1"/>
  <c r="AV23" i="3" l="1"/>
  <c r="AU36" i="3"/>
  <c r="AO40" i="3"/>
  <c r="AN48" i="3"/>
  <c r="AM4" i="13" s="1"/>
  <c r="AN46" i="3"/>
  <c r="AS37" i="3"/>
  <c r="AQ38" i="3"/>
  <c r="AS42" i="13"/>
  <c r="AR43" i="13"/>
  <c r="AS13" i="3"/>
  <c r="AS35" i="3" s="1"/>
  <c r="AQ47" i="3"/>
  <c r="AO3" i="13"/>
  <c r="AW23" i="3" l="1"/>
  <c r="AV36" i="3"/>
  <c r="AP40" i="3"/>
  <c r="AO48" i="3"/>
  <c r="AN4" i="13" s="1"/>
  <c r="AO46" i="3"/>
  <c r="AT37" i="3"/>
  <c r="AR38" i="3"/>
  <c r="AT13" i="3"/>
  <c r="AT35" i="3" s="1"/>
  <c r="AR47" i="3"/>
  <c r="AP3" i="13"/>
  <c r="AT42" i="13"/>
  <c r="AS43" i="13"/>
  <c r="AX23" i="3" l="1"/>
  <c r="AW36" i="3"/>
  <c r="AQ40" i="3"/>
  <c r="AP48" i="3"/>
  <c r="AO4" i="13" s="1"/>
  <c r="AP46" i="3"/>
  <c r="AU37" i="3"/>
  <c r="AS38" i="3"/>
  <c r="AU42" i="13"/>
  <c r="AT43" i="13"/>
  <c r="AS47" i="3"/>
  <c r="AQ3" i="13"/>
  <c r="AU13" i="3"/>
  <c r="AU35" i="3" s="1"/>
  <c r="AY23" i="3" l="1"/>
  <c r="AX36" i="3"/>
  <c r="AR40" i="3"/>
  <c r="AQ48" i="3"/>
  <c r="AP4" i="13" s="1"/>
  <c r="AQ46" i="3"/>
  <c r="AV37" i="3"/>
  <c r="AT38" i="3"/>
  <c r="AV42" i="13"/>
  <c r="AU43" i="13"/>
  <c r="AV13" i="3"/>
  <c r="AV35" i="3" s="1"/>
  <c r="AT47" i="3"/>
  <c r="AR3" i="13"/>
  <c r="AZ23" i="3" l="1"/>
  <c r="AY36" i="3"/>
  <c r="AS40" i="3"/>
  <c r="AR48" i="3"/>
  <c r="AQ4" i="13" s="1"/>
  <c r="AR46" i="3"/>
  <c r="AW37" i="3"/>
  <c r="AU38" i="3"/>
  <c r="AW13" i="3"/>
  <c r="AW35" i="3" s="1"/>
  <c r="AU47" i="3"/>
  <c r="AS3" i="13"/>
  <c r="AW42" i="13"/>
  <c r="AV43" i="13"/>
  <c r="BA23" i="3" l="1"/>
  <c r="AZ36" i="3"/>
  <c r="AT40" i="3"/>
  <c r="AS48" i="3"/>
  <c r="AR4" i="13" s="1"/>
  <c r="AS46" i="3"/>
  <c r="AX37" i="3"/>
  <c r="AV38" i="3"/>
  <c r="AV47" i="3"/>
  <c r="AT3" i="13"/>
  <c r="AX42" i="13"/>
  <c r="AW43" i="13"/>
  <c r="AX13" i="3"/>
  <c r="AX35" i="3" s="1"/>
  <c r="BA36" i="3" l="1"/>
  <c r="M23" i="3"/>
  <c r="L23" i="3"/>
  <c r="K23" i="3" s="1"/>
  <c r="AU40" i="3"/>
  <c r="AT46" i="3"/>
  <c r="AT48" i="3"/>
  <c r="AS4" i="13" s="1"/>
  <c r="AY37" i="3"/>
  <c r="AW38" i="3"/>
  <c r="AY42" i="13"/>
  <c r="AX43" i="13"/>
  <c r="AW47" i="3"/>
  <c r="AU3" i="13"/>
  <c r="AY13" i="3"/>
  <c r="AY35" i="3" s="1"/>
  <c r="AV40" i="3" l="1"/>
  <c r="AU48" i="3"/>
  <c r="AT4" i="13" s="1"/>
  <c r="AU46" i="3"/>
  <c r="L6" i="3"/>
  <c r="K6" i="3" s="1"/>
  <c r="AZ37" i="3"/>
  <c r="AX38" i="3"/>
  <c r="AZ42" i="13"/>
  <c r="AY43" i="13"/>
  <c r="AZ13" i="3"/>
  <c r="AZ35" i="3" s="1"/>
  <c r="AX47" i="3"/>
  <c r="AV3" i="13"/>
  <c r="L18" i="3"/>
  <c r="K18" i="3" s="1"/>
  <c r="M6" i="3"/>
  <c r="M50" i="3"/>
  <c r="AW40" i="3" l="1"/>
  <c r="AV48" i="3"/>
  <c r="AU4" i="13" s="1"/>
  <c r="AV46" i="3"/>
  <c r="BA37" i="3"/>
  <c r="AY38" i="3"/>
  <c r="BA13" i="3"/>
  <c r="BA35" i="3" s="1"/>
  <c r="AZ43" i="13"/>
  <c r="L45" i="13" s="1"/>
  <c r="L42" i="13"/>
  <c r="K42" i="13"/>
  <c r="J42" i="13" s="1"/>
  <c r="AY47" i="3"/>
  <c r="AW3" i="13"/>
  <c r="L7" i="3"/>
  <c r="K7" i="3" s="1"/>
  <c r="M18" i="3"/>
  <c r="M7" i="3"/>
  <c r="L58" i="3"/>
  <c r="K58" i="3" s="1"/>
  <c r="M35" i="3" l="1"/>
  <c r="AX40" i="3"/>
  <c r="AW46" i="3"/>
  <c r="AW48" i="3"/>
  <c r="AV4" i="13" s="1"/>
  <c r="M37" i="3"/>
  <c r="L37" i="3"/>
  <c r="K37" i="3" s="1"/>
  <c r="AZ38" i="3"/>
  <c r="K45" i="13"/>
  <c r="J45" i="13" s="1"/>
  <c r="L43" i="13"/>
  <c r="K43" i="13"/>
  <c r="J43" i="13" s="1"/>
  <c r="AZ47" i="3"/>
  <c r="AX3" i="13"/>
  <c r="L14" i="3"/>
  <c r="K14" i="3" s="1"/>
  <c r="L13" i="3"/>
  <c r="K13" i="3" s="1"/>
  <c r="M13" i="3"/>
  <c r="M14" i="3"/>
  <c r="M58" i="3"/>
  <c r="L35" i="3" l="1"/>
  <c r="K35" i="3" s="1"/>
  <c r="AY40" i="3"/>
  <c r="AX46" i="3"/>
  <c r="AX48" i="3"/>
  <c r="AW4" i="13" s="1"/>
  <c r="BA38" i="3"/>
  <c r="BA47" i="3"/>
  <c r="M68" i="3" s="1"/>
  <c r="AY3" i="13"/>
  <c r="L42" i="3"/>
  <c r="K42" i="3" s="1"/>
  <c r="M51" i="3"/>
  <c r="M36" i="3" l="1"/>
  <c r="L36" i="3"/>
  <c r="K36" i="3" s="1"/>
  <c r="AZ40" i="3"/>
  <c r="AY46" i="3"/>
  <c r="AY48" i="3"/>
  <c r="AX4" i="13" s="1"/>
  <c r="L41" i="3"/>
  <c r="K41" i="3" s="1"/>
  <c r="AZ3" i="13"/>
  <c r="L7" i="13" s="1"/>
  <c r="K7" i="13" s="1"/>
  <c r="J7" i="13" s="1"/>
  <c r="M41" i="3"/>
  <c r="M39" i="3"/>
  <c r="L39" i="3"/>
  <c r="K39" i="3" s="1"/>
  <c r="L38" i="3"/>
  <c r="K38" i="3" s="1"/>
  <c r="M42" i="3"/>
  <c r="M38" i="3"/>
  <c r="BA40" i="3" l="1"/>
  <c r="L40" i="3" s="1"/>
  <c r="K40" i="3" s="1"/>
  <c r="AZ46" i="3"/>
  <c r="AZ48" i="3"/>
  <c r="AY4" i="13" s="1"/>
  <c r="K3" i="13"/>
  <c r="J3" i="13" s="1"/>
  <c r="L3" i="13"/>
  <c r="L47" i="3"/>
  <c r="K47" i="3" s="1"/>
  <c r="M47" i="3"/>
  <c r="M40" i="3" l="1"/>
  <c r="BA48" i="3"/>
  <c r="L48" i="3" s="1"/>
  <c r="K48" i="3" s="1"/>
  <c r="BA46" i="3"/>
  <c r="M48" i="3" l="1"/>
  <c r="M69" i="3"/>
  <c r="AZ4" i="13"/>
  <c r="L50" i="8"/>
  <c r="K50" i="8"/>
  <c r="J50" i="8" s="1"/>
  <c r="L8" i="13" l="1"/>
  <c r="K8" i="13" s="1"/>
  <c r="J8" i="13" s="1"/>
  <c r="K4" i="13"/>
  <c r="J4" i="13" s="1"/>
  <c r="L4" i="13"/>
  <c r="M44" i="3"/>
  <c r="L44" i="3"/>
  <c r="M67" i="3" l="1"/>
  <c r="L46" i="3"/>
  <c r="K46" i="3" s="1"/>
  <c r="M46" i="3"/>
  <c r="M54" i="3" l="1"/>
  <c r="M53" i="3"/>
  <c r="AS62" i="3"/>
  <c r="AU62" i="3"/>
  <c r="AI62" i="3"/>
  <c r="AR62" i="3"/>
  <c r="AR65" i="3" s="1"/>
  <c r="AE62" i="3"/>
  <c r="AQ62" i="3"/>
  <c r="AQ65" i="3" s="1"/>
  <c r="X62" i="3"/>
  <c r="X65" i="3" s="1"/>
  <c r="AG62" i="3"/>
  <c r="AG65" i="3" s="1"/>
  <c r="AF62" i="3"/>
  <c r="AF65" i="3" s="1"/>
  <c r="T62" i="3"/>
  <c r="Q62" i="3"/>
  <c r="AV62" i="3"/>
  <c r="AK62" i="3"/>
  <c r="AX62" i="3"/>
  <c r="AX65" i="3" s="1"/>
  <c r="Z62" i="3"/>
  <c r="Z65" i="3" s="1"/>
  <c r="AH62" i="3"/>
  <c r="AO62" i="3"/>
  <c r="V62" i="3"/>
  <c r="V64" i="3" s="1"/>
  <c r="AN62" i="3"/>
  <c r="AN64" i="3" s="1"/>
  <c r="AW62" i="3"/>
  <c r="AW65" i="3" s="1"/>
  <c r="AY62" i="3"/>
  <c r="AY65" i="3" s="1"/>
  <c r="AC62" i="3"/>
  <c r="AC64" i="3" s="1"/>
  <c r="AD62" i="3"/>
  <c r="Y62" i="3"/>
  <c r="Y65" i="3" s="1"/>
  <c r="U62" i="3"/>
  <c r="AJ62" i="3"/>
  <c r="AJ65" i="3" s="1"/>
  <c r="AA62" i="3"/>
  <c r="AA65" i="3" s="1"/>
  <c r="AP62" i="3"/>
  <c r="AP65" i="3" s="1"/>
  <c r="AT62" i="3"/>
  <c r="AB62" i="3"/>
  <c r="AB65" i="3" s="1"/>
  <c r="AZ62" i="3"/>
  <c r="AL62" i="3"/>
  <c r="L54" i="3"/>
  <c r="K54" i="3" s="1"/>
  <c r="W62" i="3"/>
  <c r="W65" i="3" s="1"/>
  <c r="S62" i="3"/>
  <c r="AM62" i="3"/>
  <c r="AM65" i="3" s="1"/>
  <c r="BA62" i="3"/>
  <c r="BA65" i="3" s="1"/>
  <c r="L53" i="3"/>
  <c r="K53" i="3" s="1"/>
  <c r="R62" i="3"/>
  <c r="Q64" i="3" l="1"/>
  <c r="P5" i="13" s="1"/>
  <c r="M70" i="3"/>
  <c r="AW64" i="3"/>
  <c r="AV5" i="13" s="1"/>
  <c r="AV6" i="13" s="1"/>
  <c r="AV37" i="13" s="1"/>
  <c r="AF64" i="3"/>
  <c r="AE5" i="13" s="1"/>
  <c r="AE6" i="13" s="1"/>
  <c r="AE37" i="13" s="1"/>
  <c r="W64" i="3"/>
  <c r="AP64" i="3"/>
  <c r="AG64" i="3"/>
  <c r="AQ64" i="3"/>
  <c r="M62" i="3"/>
  <c r="M64" i="3" s="1"/>
  <c r="AT64" i="3"/>
  <c r="AA64" i="3"/>
  <c r="Y64" i="3"/>
  <c r="AY64" i="3"/>
  <c r="Z64" i="3"/>
  <c r="AV65" i="3"/>
  <c r="AS64" i="3"/>
  <c r="AR5" i="13" s="1"/>
  <c r="AR6" i="13" s="1"/>
  <c r="AR37" i="13" s="1"/>
  <c r="R65" i="3"/>
  <c r="U5" i="13"/>
  <c r="U6" i="13" s="1"/>
  <c r="U37" i="13" s="1"/>
  <c r="AB5" i="13"/>
  <c r="AB6" i="13" s="1"/>
  <c r="AB37" i="13" s="1"/>
  <c r="AM5" i="13"/>
  <c r="AM6" i="13" s="1"/>
  <c r="AM37" i="13" s="1"/>
  <c r="BA64" i="3"/>
  <c r="AM64" i="3"/>
  <c r="S64" i="3"/>
  <c r="S65" i="3"/>
  <c r="AJ64" i="3"/>
  <c r="U64" i="3"/>
  <c r="AD65" i="3"/>
  <c r="AL65" i="3"/>
  <c r="AK64" i="3"/>
  <c r="AL64" i="3"/>
  <c r="X64" i="3"/>
  <c r="AE64" i="3"/>
  <c r="AK65" i="3"/>
  <c r="T65" i="3"/>
  <c r="Q65" i="3"/>
  <c r="AR64" i="3"/>
  <c r="AZ65" i="3"/>
  <c r="AS65" i="3"/>
  <c r="AC65" i="3"/>
  <c r="AH65" i="3"/>
  <c r="AU65" i="3"/>
  <c r="T64" i="3"/>
  <c r="AT65" i="3"/>
  <c r="AN65" i="3"/>
  <c r="V65" i="3"/>
  <c r="L62" i="3"/>
  <c r="K62" i="3" s="1"/>
  <c r="AO64" i="3"/>
  <c r="AZ64" i="3"/>
  <c r="AB64" i="3"/>
  <c r="R64" i="3"/>
  <c r="AV64" i="3"/>
  <c r="AH64" i="3"/>
  <c r="AD64" i="3"/>
  <c r="AI65" i="3"/>
  <c r="AU64" i="3"/>
  <c r="AI64" i="3"/>
  <c r="AO65" i="3"/>
  <c r="AE65" i="3"/>
  <c r="U65" i="3"/>
  <c r="AX64" i="3"/>
  <c r="M71" i="3" l="1"/>
  <c r="AF5" i="13"/>
  <c r="AF6" i="13" s="1"/>
  <c r="AF37" i="13" s="1"/>
  <c r="AO5" i="13"/>
  <c r="AO6" i="13" s="1"/>
  <c r="AO37" i="13" s="1"/>
  <c r="AS5" i="13"/>
  <c r="AS6" i="13" s="1"/>
  <c r="AS37" i="13" s="1"/>
  <c r="Y5" i="13"/>
  <c r="Y6" i="13" s="1"/>
  <c r="Y37" i="13" s="1"/>
  <c r="AP5" i="13"/>
  <c r="AP6" i="13" s="1"/>
  <c r="AP37" i="13" s="1"/>
  <c r="X5" i="13"/>
  <c r="X6" i="13" s="1"/>
  <c r="X37" i="13" s="1"/>
  <c r="V5" i="13"/>
  <c r="V6" i="13" s="1"/>
  <c r="V37" i="13" s="1"/>
  <c r="AX5" i="13"/>
  <c r="AX6" i="13" s="1"/>
  <c r="AX37" i="13" s="1"/>
  <c r="Z5" i="13"/>
  <c r="Z6" i="13" s="1"/>
  <c r="Z37" i="13" s="1"/>
  <c r="AU5" i="13"/>
  <c r="AU6" i="13" s="1"/>
  <c r="AU37" i="13" s="1"/>
  <c r="AY5" i="13"/>
  <c r="AY6" i="13" s="1"/>
  <c r="AY37" i="13" s="1"/>
  <c r="L65" i="3"/>
  <c r="K65" i="3" s="1"/>
  <c r="M65" i="3"/>
  <c r="M72" i="3"/>
  <c r="AD5" i="13"/>
  <c r="AD6" i="13" s="1"/>
  <c r="AD37" i="13" s="1"/>
  <c r="AK5" i="13"/>
  <c r="AK6" i="13" s="1"/>
  <c r="AK37" i="13" s="1"/>
  <c r="AZ5" i="13"/>
  <c r="AZ6" i="13" s="1"/>
  <c r="AZ37" i="13" s="1"/>
  <c r="AH5" i="13"/>
  <c r="AH6" i="13" s="1"/>
  <c r="AH37" i="13" s="1"/>
  <c r="AW5" i="13"/>
  <c r="AW6" i="13" s="1"/>
  <c r="AW37" i="13" s="1"/>
  <c r="AC5" i="13"/>
  <c r="AC6" i="13" s="1"/>
  <c r="AC37" i="13" s="1"/>
  <c r="P6" i="13"/>
  <c r="P37" i="13" s="1"/>
  <c r="AN5" i="13"/>
  <c r="AN6" i="13" s="1"/>
  <c r="AN37" i="13" s="1"/>
  <c r="AJ5" i="13"/>
  <c r="AJ6" i="13" s="1"/>
  <c r="AJ37" i="13" s="1"/>
  <c r="AG5" i="13"/>
  <c r="AG6" i="13" s="1"/>
  <c r="AG37" i="13" s="1"/>
  <c r="Q5" i="13"/>
  <c r="Q6" i="13" s="1"/>
  <c r="Q37" i="13" s="1"/>
  <c r="L64" i="3"/>
  <c r="K64" i="3" s="1"/>
  <c r="S5" i="13"/>
  <c r="S6" i="13" s="1"/>
  <c r="S37" i="13" s="1"/>
  <c r="AQ5" i="13"/>
  <c r="AQ6" i="13" s="1"/>
  <c r="AQ37" i="13" s="1"/>
  <c r="W5" i="13"/>
  <c r="W6" i="13" s="1"/>
  <c r="W37" i="13" s="1"/>
  <c r="T5" i="13"/>
  <c r="T6" i="13" s="1"/>
  <c r="T37" i="13" s="1"/>
  <c r="R5" i="13"/>
  <c r="R6" i="13" s="1"/>
  <c r="R37" i="13" s="1"/>
  <c r="AT5" i="13"/>
  <c r="AT6" i="13" s="1"/>
  <c r="AT37" i="13" s="1"/>
  <c r="AA5" i="13"/>
  <c r="AA6" i="13" s="1"/>
  <c r="AA37" i="13" s="1"/>
  <c r="AI5" i="13"/>
  <c r="AI6" i="13" s="1"/>
  <c r="AI37" i="13" s="1"/>
  <c r="AL5" i="13"/>
  <c r="AL6" i="13" s="1"/>
  <c r="AL37" i="13" s="1"/>
  <c r="L10" i="13" l="1"/>
  <c r="K10" i="13" s="1"/>
  <c r="J10" i="13" s="1"/>
  <c r="L9" i="13"/>
  <c r="K9" i="13" s="1"/>
  <c r="J9" i="13" s="1"/>
  <c r="L5" i="13"/>
  <c r="K6" i="13"/>
  <c r="J6" i="13" s="1"/>
  <c r="L6" i="13"/>
  <c r="L38" i="13"/>
  <c r="K38" i="13" s="1"/>
  <c r="J38" i="13" s="1"/>
  <c r="K5" i="13"/>
  <c r="J5" i="13" s="1"/>
  <c r="L37" i="13" l="1"/>
  <c r="K37" i="13"/>
  <c r="J37"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Andi Nygaard</author>
  </authors>
  <commentList>
    <comment ref="N5" authorId="0" shapeId="0" xr:uid="{00000000-0006-0000-0100-000001000000}">
      <text>
        <r>
          <rPr>
            <b/>
            <sz val="9"/>
            <color indexed="81"/>
            <rFont val="Tahoma"/>
            <family val="2"/>
          </rPr>
          <t xml:space="preserve">Instruction:
</t>
        </r>
        <r>
          <rPr>
            <sz val="9"/>
            <color indexed="81"/>
            <rFont val="Tahoma"/>
            <family val="2"/>
          </rPr>
          <t>The  turnover rate is the per cent of properties vacated in a given year, becoming available for a new tenancy.
Nygaard and Kollmann (2023) use 7% in their cost-benefit analysis of social and affordable housing in Sydney and Canberra.</t>
        </r>
      </text>
    </comment>
    <comment ref="N10" authorId="0" shapeId="0" xr:uid="{00000000-0006-0000-0100-000004000000}">
      <text>
        <r>
          <rPr>
            <b/>
            <sz val="9"/>
            <color indexed="81"/>
            <rFont val="Tahoma"/>
            <family val="2"/>
          </rPr>
          <t>Instruction:</t>
        </r>
        <r>
          <rPr>
            <sz val="9"/>
            <color indexed="81"/>
            <rFont val="Tahoma"/>
            <family val="2"/>
          </rPr>
          <t xml:space="preserve">
The vacancy rate is the per cent of time that dwellings, on average, remain unoccupied.
Use past business experience to fill in the vacancy rate. 
Each week a property is without a tenant is equal to 1.9% vacancy rate. 
In the absence of other information, a vacancy rate of 2.5-4% is a reasonable default.</t>
        </r>
      </text>
    </comment>
    <comment ref="S11" authorId="0" shapeId="0" xr:uid="{00000000-0006-0000-0100-000005000000}">
      <text>
        <r>
          <rPr>
            <b/>
            <sz val="9"/>
            <color indexed="81"/>
            <rFont val="Tahoma"/>
            <family val="2"/>
          </rPr>
          <t xml:space="preserve">Instruction:
</t>
        </r>
        <r>
          <rPr>
            <sz val="9"/>
            <color indexed="81"/>
            <rFont val="Tahoma"/>
            <family val="2"/>
          </rPr>
          <t>Enter here the total square meter size of the development lot.</t>
        </r>
      </text>
    </comment>
    <comment ref="F17" authorId="0" shapeId="0" xr:uid="{00000000-0006-0000-0100-000008000000}">
      <text>
        <r>
          <rPr>
            <b/>
            <sz val="9"/>
            <color indexed="81"/>
            <rFont val="Tahoma"/>
            <family val="2"/>
          </rPr>
          <t>Instruction:</t>
        </r>
        <r>
          <rPr>
            <sz val="9"/>
            <color indexed="81"/>
            <rFont val="Tahoma"/>
            <family val="2"/>
          </rPr>
          <t xml:space="preserve">
Insert expected number of one-parent allocations. This can be based on past allocation patterns, or priority list analysis.</t>
        </r>
      </text>
    </comment>
    <comment ref="K17" authorId="0" shapeId="0" xr:uid="{00000000-0006-0000-0100-000009000000}">
      <text>
        <r>
          <rPr>
            <b/>
            <sz val="9"/>
            <color indexed="81"/>
            <rFont val="Tahoma"/>
            <family val="2"/>
          </rPr>
          <t xml:space="preserve">Instruction:
</t>
        </r>
        <r>
          <rPr>
            <sz val="9"/>
            <color indexed="81"/>
            <rFont val="Tahoma"/>
            <family val="2"/>
          </rPr>
          <t>Enter the number of dwellings that have a private balcony, patio or garden. To be considered a balcony/private garden this would need to be min 8sqm.</t>
        </r>
      </text>
    </comment>
    <comment ref="L17" authorId="0" shapeId="0" xr:uid="{00000000-0006-0000-0100-00000A000000}">
      <text>
        <r>
          <rPr>
            <b/>
            <sz val="9"/>
            <color rgb="FF000000"/>
            <rFont val="Tahoma"/>
            <family val="2"/>
          </rPr>
          <t>Instruction:</t>
        </r>
        <r>
          <rPr>
            <sz val="9"/>
            <color rgb="FF000000"/>
            <rFont val="Tahoma"/>
            <family val="2"/>
          </rPr>
          <t xml:space="preserve">
</t>
        </r>
        <r>
          <rPr>
            <sz val="9"/>
            <color rgb="FF000000"/>
            <rFont val="Tahoma"/>
            <family val="2"/>
          </rPr>
          <t>Insert expected number of one-parent allocations. This can be based on past allocation patterns, or priority list analysis.</t>
        </r>
      </text>
    </comment>
    <comment ref="Q17" authorId="0" shapeId="0" xr:uid="{00000000-0006-0000-0100-00000B000000}">
      <text>
        <r>
          <rPr>
            <b/>
            <sz val="9"/>
            <color indexed="81"/>
            <rFont val="Tahoma"/>
            <family val="2"/>
          </rPr>
          <t>Instruction:</t>
        </r>
        <r>
          <rPr>
            <sz val="9"/>
            <color indexed="81"/>
            <rFont val="Tahoma"/>
            <family val="2"/>
          </rPr>
          <t xml:space="preserve">
Insert expected number of one-parent allocations. This can be based on past allocation patterns, or priority list analysis.</t>
        </r>
      </text>
    </comment>
    <comment ref="V17" authorId="0" shapeId="0" xr:uid="{00000000-0006-0000-0100-00000C000000}">
      <text>
        <r>
          <rPr>
            <b/>
            <sz val="9"/>
            <color indexed="81"/>
            <rFont val="Tahoma"/>
            <family val="2"/>
          </rPr>
          <t xml:space="preserve">Instruction:
</t>
        </r>
        <r>
          <rPr>
            <sz val="9"/>
            <color indexed="81"/>
            <rFont val="Tahoma"/>
            <family val="2"/>
          </rPr>
          <t>Enter the number of dwellings that have a private balcony, patio or garden. To be considered a balcony/private garden this would need to be min 8sqm</t>
        </r>
      </text>
    </comment>
    <comment ref="W17" authorId="0" shapeId="0" xr:uid="{00000000-0006-0000-0100-00000D000000}">
      <text>
        <r>
          <rPr>
            <b/>
            <sz val="9"/>
            <color indexed="81"/>
            <rFont val="Tahoma"/>
            <family val="2"/>
          </rPr>
          <t>Instruction:</t>
        </r>
        <r>
          <rPr>
            <sz val="9"/>
            <color indexed="81"/>
            <rFont val="Tahoma"/>
            <family val="2"/>
          </rPr>
          <t xml:space="preserve">
Insert expected number of one-parent allocations. This can be based on past allocation patterns, or priority list analysis.</t>
        </r>
      </text>
    </comment>
    <comment ref="F60" authorId="0" shapeId="0" xr:uid="{B57F159C-924A-41B0-9AD3-15EDDD950A28}">
      <text>
        <r>
          <rPr>
            <b/>
            <sz val="9"/>
            <color indexed="81"/>
            <rFont val="Tahoma"/>
            <family val="2"/>
          </rPr>
          <t xml:space="preserve">Entering green space:
</t>
        </r>
        <r>
          <rPr>
            <sz val="9"/>
            <color indexed="81"/>
            <rFont val="Tahoma"/>
            <family val="2"/>
          </rPr>
          <t>Only enter space that is meaningfully covered by grass, plants, shrubs or canopy. 
Areas that largely represent dirt patches, sand or loose soils and rocks should be excluded from the calculation of the area.</t>
        </r>
      </text>
    </comment>
    <comment ref="Z62" authorId="0" shapeId="0" xr:uid="{00000000-0006-0000-0100-000002000000}">
      <text>
        <r>
          <rPr>
            <b/>
            <sz val="9"/>
            <color indexed="81"/>
            <rFont val="Tahoma"/>
            <family val="2"/>
          </rPr>
          <t xml:space="preserve">Carbon price:
</t>
        </r>
        <r>
          <rPr>
            <sz val="9"/>
            <color indexed="81"/>
            <rFont val="Tahoma"/>
            <family val="2"/>
          </rPr>
          <t xml:space="preserve">The NSW government's recommended pricing of carbon is based on the EU's ETS Carbon Price. Information on the carbon price can be found here: 
https://ember-climate.org/data/data-tools/carbon-price-viewer/ 
</t>
        </r>
      </text>
    </comment>
    <comment ref="Z65" authorId="0" shapeId="0" xr:uid="{00000000-0006-0000-0100-000003000000}">
      <text>
        <r>
          <rPr>
            <b/>
            <sz val="9"/>
            <color indexed="81"/>
            <rFont val="Tahoma"/>
            <family val="2"/>
          </rPr>
          <t>Historical exchange rate information</t>
        </r>
        <r>
          <rPr>
            <sz val="9"/>
            <color indexed="81"/>
            <rFont val="Tahoma"/>
            <family val="2"/>
          </rPr>
          <t xml:space="preserve"> can be found from various online sources. One source is: 
https://www.oanda.com/fx-for-business/historical-rates </t>
        </r>
      </text>
    </comment>
    <comment ref="Z68" authorId="0" shapeId="0" xr:uid="{00000000-0006-0000-0100-000006000000}">
      <text>
        <r>
          <rPr>
            <b/>
            <sz val="9"/>
            <color indexed="81"/>
            <rFont val="Tahoma"/>
            <family val="2"/>
          </rPr>
          <t>Bureau of Metrology:</t>
        </r>
        <r>
          <rPr>
            <sz val="9"/>
            <color indexed="81"/>
            <rFont val="Tahoma"/>
            <family val="2"/>
          </rPr>
          <t xml:space="preserve">
Information about number of days over 30 degrees for a selection of sites across Australia can be found here: 
http://www.bom.gov.au/climate/data/index.shtml 
1. Use the map to select location.
2. Select 'Daily maximum temperature' from</t>
        </r>
        <r>
          <rPr>
            <b/>
            <sz val="9"/>
            <color indexed="81"/>
            <rFont val="Tahoma"/>
            <family val="2"/>
          </rPr>
          <t xml:space="preserve"> I would lik</t>
        </r>
        <r>
          <rPr>
            <sz val="9"/>
            <color indexed="81"/>
            <rFont val="Tahoma"/>
            <family val="2"/>
          </rPr>
          <t xml:space="preserve">e.
3. Map will produce a small call-out box: click on 'Daily max. temperature' link.
4. Select from 'Show in table': Days above 30 degrees.  </t>
        </r>
      </text>
    </comment>
    <comment ref="J69" authorId="0" shapeId="0" xr:uid="{00000000-0006-0000-0100-00000E000000}">
      <text>
        <r>
          <rPr>
            <b/>
            <sz val="9"/>
            <color indexed="81"/>
            <rFont val="Tahoma"/>
            <family val="2"/>
          </rPr>
          <t xml:space="preserve">If Error message:
</t>
        </r>
        <r>
          <rPr>
            <sz val="9"/>
            <color indexed="81"/>
            <rFont val="Tahoma"/>
            <family val="2"/>
          </rPr>
          <t>Canopy space entered is greater than total green space (small).</t>
        </r>
      </text>
    </comment>
    <comment ref="J71" authorId="0" shapeId="0" xr:uid="{00000000-0006-0000-0100-00000F000000}">
      <text>
        <r>
          <rPr>
            <b/>
            <sz val="9"/>
            <color indexed="81"/>
            <rFont val="Tahoma"/>
            <family val="2"/>
          </rPr>
          <t xml:space="preserve">If Error message:
</t>
        </r>
        <r>
          <rPr>
            <sz val="9"/>
            <color indexed="81"/>
            <rFont val="Tahoma"/>
            <family val="2"/>
          </rPr>
          <t>Canopy space entered is greater than total green space (medium)</t>
        </r>
      </text>
    </comment>
    <comment ref="Z71" authorId="0" shapeId="0" xr:uid="{00000000-0006-0000-0100-000007000000}">
      <text>
        <r>
          <rPr>
            <b/>
            <sz val="9"/>
            <color indexed="81"/>
            <rFont val="Tahoma"/>
            <family val="2"/>
          </rPr>
          <t xml:space="preserve">Electricity price:
</t>
        </r>
        <r>
          <rPr>
            <sz val="9"/>
            <color indexed="81"/>
            <rFont val="Tahoma"/>
            <family val="2"/>
          </rPr>
          <t xml:space="preserve">Enter a representative electricity price. </t>
        </r>
        <r>
          <rPr>
            <b/>
            <sz val="9"/>
            <color indexed="81"/>
            <rFont val="Tahoma"/>
            <family val="2"/>
          </rPr>
          <t xml:space="preserve">Use dollars, not cents.
</t>
        </r>
        <r>
          <rPr>
            <sz val="9"/>
            <color indexed="81"/>
            <rFont val="Tahoma"/>
            <family val="2"/>
          </rPr>
          <t xml:space="preserve">Information on electricity prices can be sourced from own records/supplier agreements.
Websites like 'Finder' also provide average prices on a per state basis. (https://www.finder.com.au/average-cost-of-electricity)
Remember to entre price as </t>
        </r>
        <r>
          <rPr>
            <b/>
            <sz val="9"/>
            <color indexed="81"/>
            <rFont val="Tahoma"/>
            <family val="2"/>
          </rPr>
          <t>dollar</t>
        </r>
        <r>
          <rPr>
            <sz val="9"/>
            <color indexed="81"/>
            <rFont val="Tahoma"/>
            <family val="2"/>
          </rPr>
          <t xml:space="preserve"> value, NOT cents.</t>
        </r>
      </text>
    </comment>
    <comment ref="J73" authorId="0" shapeId="0" xr:uid="{00000000-0006-0000-0100-000010000000}">
      <text>
        <r>
          <rPr>
            <b/>
            <sz val="9"/>
            <color indexed="81"/>
            <rFont val="Tahoma"/>
            <family val="2"/>
          </rPr>
          <t xml:space="preserve">If Error message:
</t>
        </r>
        <r>
          <rPr>
            <sz val="9"/>
            <color indexed="81"/>
            <rFont val="Tahoma"/>
            <family val="2"/>
          </rPr>
          <t>Canopy space entered is greater than total green space (large)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Andi Nygaard</author>
  </authors>
  <commentList>
    <comment ref="G23" authorId="0" shapeId="0" xr:uid="{00000000-0006-0000-0500-000001000000}">
      <text>
        <r>
          <rPr>
            <b/>
            <sz val="9"/>
            <color indexed="81"/>
            <rFont val="Tahoma"/>
            <family val="2"/>
          </rPr>
          <t>Andi Nygaard:</t>
        </r>
        <r>
          <rPr>
            <sz val="9"/>
            <color indexed="81"/>
            <rFont val="Tahoma"/>
            <family val="2"/>
          </rPr>
          <t xml:space="preserve">
Only 30% of allocations to social housing in the SHS AIHW data is from private market rental.</t>
        </r>
      </text>
    </comment>
    <comment ref="C38" authorId="0" shapeId="0" xr:uid="{00000000-0006-0000-0500-000004000000}">
      <text>
        <r>
          <rPr>
            <b/>
            <sz val="9"/>
            <color indexed="81"/>
            <rFont val="Tahoma"/>
            <family val="2"/>
          </rPr>
          <t>Andi Nygaard:</t>
        </r>
        <r>
          <rPr>
            <sz val="9"/>
            <color indexed="81"/>
            <rFont val="Tahoma"/>
            <family val="2"/>
          </rPr>
          <t xml:space="preserve">
Approxiately 5% of total children are Yr 12.</t>
        </r>
      </text>
    </comment>
    <comment ref="C39" authorId="0" shapeId="0" xr:uid="{00000000-0006-0000-0500-000005000000}">
      <text>
        <r>
          <rPr>
            <b/>
            <sz val="9"/>
            <color indexed="81"/>
            <rFont val="Tahoma"/>
            <family val="2"/>
          </rPr>
          <t>Andi Nygaard:</t>
        </r>
        <r>
          <rPr>
            <sz val="9"/>
            <color indexed="81"/>
            <rFont val="Tahoma"/>
            <family val="2"/>
          </rPr>
          <t xml:space="preserve">
Causality evidence not strong enough</t>
        </r>
      </text>
    </comment>
    <comment ref="C140" authorId="0" shapeId="0" xr:uid="{00000000-0006-0000-0500-000006000000}">
      <text>
        <r>
          <rPr>
            <b/>
            <sz val="9"/>
            <color indexed="81"/>
            <rFont val="Tahoma"/>
            <family val="2"/>
          </rPr>
          <t>Andi Nygaard:</t>
        </r>
        <r>
          <rPr>
            <sz val="9"/>
            <color indexed="81"/>
            <rFont val="Tahoma"/>
            <family val="2"/>
          </rPr>
          <t xml:space="preserve">
Not in use in this calculation.
User defined on Green and social interface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Andi Nygaard</author>
  </authors>
  <commentList>
    <comment ref="C34" authorId="0" shapeId="0" xr:uid="{00000000-0006-0000-0600-000002000000}">
      <text>
        <r>
          <rPr>
            <b/>
            <sz val="9"/>
            <color indexed="81"/>
            <rFont val="Tahoma"/>
            <family val="2"/>
          </rPr>
          <t>Andi Nygaard:</t>
        </r>
        <r>
          <rPr>
            <sz val="9"/>
            <color indexed="81"/>
            <rFont val="Tahoma"/>
            <family val="2"/>
          </rPr>
          <t xml:space="preserve">
We need to adjust these values for the growth rate of canopy.</t>
        </r>
      </text>
    </comment>
    <comment ref="M34" authorId="0" shapeId="0" xr:uid="{00000000-0006-0000-0600-000003000000}">
      <text>
        <r>
          <rPr>
            <b/>
            <sz val="9"/>
            <color indexed="81"/>
            <rFont val="Tahoma"/>
            <family val="2"/>
          </rPr>
          <t>Andi Nygaard:</t>
        </r>
        <r>
          <rPr>
            <sz val="9"/>
            <color indexed="81"/>
            <rFont val="Tahoma"/>
            <family val="2"/>
          </rPr>
          <t xml:space="preserve">
0.25 is grams per sqm canopy cover
1,000,000 converts grams to tons</t>
        </r>
      </text>
    </comment>
    <comment ref="C35" authorId="0" shapeId="0" xr:uid="{00000000-0006-0000-0600-000004000000}">
      <text>
        <r>
          <rPr>
            <b/>
            <sz val="9"/>
            <color indexed="81"/>
            <rFont val="Tahoma"/>
            <family val="2"/>
          </rPr>
          <t>Andi Nygaard:</t>
        </r>
        <r>
          <rPr>
            <sz val="9"/>
            <color indexed="81"/>
            <rFont val="Tahoma"/>
            <family val="2"/>
          </rPr>
          <t xml:space="preserve">
From SUDS calculator:
0.00649373798747598 PM10 uptake per hectar extensive green roof
so eqivalent to per 10,000 sqm.
Have "extracted" PM2.5 value as per NSW DPE 2022=0.25 grams or 0.0025
</t>
        </r>
      </text>
    </comment>
    <comment ref="M35" authorId="0" shapeId="0" xr:uid="{00000000-0006-0000-0600-000005000000}">
      <text>
        <r>
          <rPr>
            <b/>
            <sz val="9"/>
            <color indexed="81"/>
            <rFont val="Tahoma"/>
            <family val="2"/>
          </rPr>
          <t>Andi Nygaard:</t>
        </r>
        <r>
          <rPr>
            <sz val="9"/>
            <color indexed="81"/>
            <rFont val="Tahoma"/>
            <family val="2"/>
          </rPr>
          <t xml:space="preserve">
0.00649373798747598 is tons per hectar
10,000 converts sqm to hectars 
15 converts pm10 to pm2.5 weight equivalents.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<sst xmlns="http://schemas.openxmlformats.org/spreadsheetml/2006/main" count="3206" uniqueCount="1146">
  <si>
    <t>Domestic violence</t>
  </si>
  <si>
    <t>Prison release</t>
  </si>
  <si>
    <t>Affordable housing</t>
  </si>
  <si>
    <t>Social housing</t>
  </si>
  <si>
    <t>Houses/semi-detached/townhouses</t>
  </si>
  <si>
    <t>Apartment style</t>
  </si>
  <si>
    <t>1-bed</t>
  </si>
  <si>
    <t>2-bed</t>
  </si>
  <si>
    <t>3-bed</t>
  </si>
  <si>
    <t>4-bed</t>
  </si>
  <si>
    <t>Studio</t>
  </si>
  <si>
    <t>5-bed</t>
  </si>
  <si>
    <t>State</t>
  </si>
  <si>
    <t>Housing Infrastructure Funding</t>
  </si>
  <si>
    <t>Wider social and economic benefits</t>
  </si>
  <si>
    <t>Year</t>
  </si>
  <si>
    <t>Category</t>
  </si>
  <si>
    <t>Tenant</t>
  </si>
  <si>
    <t>Beneficiary</t>
  </si>
  <si>
    <t>Benefit p.p</t>
  </si>
  <si>
    <t>Impact ratio</t>
  </si>
  <si>
    <t>Number of HH</t>
  </si>
  <si>
    <t>Turnover</t>
  </si>
  <si>
    <t>Total</t>
  </si>
  <si>
    <t>Yr 1</t>
  </si>
  <si>
    <t>Yr 2</t>
  </si>
  <si>
    <t>Yr 3</t>
  </si>
  <si>
    <t>Yr 4</t>
  </si>
  <si>
    <t>Yr 5</t>
  </si>
  <si>
    <t>Yr 6</t>
  </si>
  <si>
    <t>Yr 7</t>
  </si>
  <si>
    <t>Yr 8</t>
  </si>
  <si>
    <t>Yr 9</t>
  </si>
  <si>
    <t>Yr 10</t>
  </si>
  <si>
    <t>Yr 11</t>
  </si>
  <si>
    <t>Yr 12</t>
  </si>
  <si>
    <t>Yr 13</t>
  </si>
  <si>
    <t>Yr 14</t>
  </si>
  <si>
    <t>Yr 15</t>
  </si>
  <si>
    <t>Yr 16</t>
  </si>
  <si>
    <t>Yr 17</t>
  </si>
  <si>
    <t>Yr 18</t>
  </si>
  <si>
    <t>Yr 19</t>
  </si>
  <si>
    <t>Yr 20</t>
  </si>
  <si>
    <t>Yr 21</t>
  </si>
  <si>
    <t>Yr 22</t>
  </si>
  <si>
    <t>Yr 23</t>
  </si>
  <si>
    <t>Yr 24</t>
  </si>
  <si>
    <t>Yr 25</t>
  </si>
  <si>
    <t>Yr 26</t>
  </si>
  <si>
    <t>Yr 27</t>
  </si>
  <si>
    <t>Yr 28</t>
  </si>
  <si>
    <t>Yr 29</t>
  </si>
  <si>
    <t>Yr 30</t>
  </si>
  <si>
    <t>Yr 31</t>
  </si>
  <si>
    <t>Yr 32</t>
  </si>
  <si>
    <t>Yr 33</t>
  </si>
  <si>
    <t>Yr 34</t>
  </si>
  <si>
    <t>Yr 35</t>
  </si>
  <si>
    <t>Yr 36</t>
  </si>
  <si>
    <t>Yr 37</t>
  </si>
  <si>
    <t>Yr 38</t>
  </si>
  <si>
    <t>Yr 39</t>
  </si>
  <si>
    <t>Yr 40</t>
  </si>
  <si>
    <t>Cash benefits</t>
  </si>
  <si>
    <t>Housing</t>
  </si>
  <si>
    <t>Public</t>
  </si>
  <si>
    <t>ASVB (public sec) temporary to secure</t>
  </si>
  <si>
    <t>Household finances</t>
  </si>
  <si>
    <t>Affordable rent</t>
  </si>
  <si>
    <t>Private</t>
  </si>
  <si>
    <t>ASVB make ends meet</t>
  </si>
  <si>
    <t>Complete Yr 12</t>
  </si>
  <si>
    <t>Health and DV</t>
  </si>
  <si>
    <t>Pers spend severe depression</t>
  </si>
  <si>
    <t>Pers spent other depression</t>
  </si>
  <si>
    <t>Public spend severe depression</t>
  </si>
  <si>
    <t>Public spend other depression</t>
  </si>
  <si>
    <t>Total monetary</t>
  </si>
  <si>
    <t>Combined</t>
  </si>
  <si>
    <t>Total sub</t>
  </si>
  <si>
    <t>Wellbeing benefits</t>
  </si>
  <si>
    <t>Total wellbeing</t>
  </si>
  <si>
    <t>Total wellbeing+private cash</t>
  </si>
  <si>
    <t>Total monetary and wellbeing</t>
  </si>
  <si>
    <t>NPV</t>
  </si>
  <si>
    <t>Monetary</t>
  </si>
  <si>
    <t xml:space="preserve">Combined </t>
  </si>
  <si>
    <t>Rent</t>
  </si>
  <si>
    <t>Type</t>
  </si>
  <si>
    <t>Dwelling Type</t>
  </si>
  <si>
    <t>$/dwelling/week</t>
  </si>
  <si>
    <t>Commercial Area</t>
  </si>
  <si>
    <t>$/sq m</t>
  </si>
  <si>
    <t>$/sq m/week</t>
  </si>
  <si>
    <t>General commercial</t>
  </si>
  <si>
    <t>Rental Rates</t>
  </si>
  <si>
    <t>Affordable Rental Rate (% of MARKET RENT)</t>
  </si>
  <si>
    <t>Social Rental Max Rental Rate (% of INCOME)</t>
  </si>
  <si>
    <t>Discount rate</t>
  </si>
  <si>
    <t>Children Yr 12</t>
  </si>
  <si>
    <t>Approximately 5% of children are Yr 12</t>
  </si>
  <si>
    <t>Parents SH</t>
  </si>
  <si>
    <t>Subtracting homeless and DV to min double counting</t>
  </si>
  <si>
    <t>Parents AF</t>
  </si>
  <si>
    <t>Overcrowding</t>
  </si>
  <si>
    <t>Approximately 10% of PRS in Sydney overcrowded</t>
  </si>
  <si>
    <t>Houses #</t>
  </si>
  <si>
    <t>Apartments #</t>
  </si>
  <si>
    <t>Social</t>
  </si>
  <si>
    <t xml:space="preserve">Affordable </t>
  </si>
  <si>
    <t>Studio #</t>
  </si>
  <si>
    <t>1-bed #</t>
  </si>
  <si>
    <t>2-bed #</t>
  </si>
  <si>
    <t>3-bed #</t>
  </si>
  <si>
    <t>4-bed #</t>
  </si>
  <si>
    <t>5-bed #</t>
  </si>
  <si>
    <t>Single adult %</t>
  </si>
  <si>
    <t>  Newstart %</t>
  </si>
  <si>
    <t>  DSP %</t>
  </si>
  <si>
    <t>  Pension %</t>
  </si>
  <si>
    <t>Single, 1 child %</t>
  </si>
  <si>
    <t>DSP, 1 child %</t>
  </si>
  <si>
    <t>Couple, 1 child %</t>
  </si>
  <si>
    <t>Single, 2 children %</t>
  </si>
  <si>
    <t>DSP, 2 children %</t>
  </si>
  <si>
    <t>Couple, 2 children %</t>
  </si>
  <si>
    <t>Single, 3 children %</t>
  </si>
  <si>
    <t>DSP, 3 children %</t>
  </si>
  <si>
    <t>Couple, 3 children %</t>
  </si>
  <si>
    <t>Couple, only %</t>
  </si>
  <si>
    <t>Sum</t>
  </si>
  <si>
    <t>SUM Houses</t>
  </si>
  <si>
    <t>SUM Apartments</t>
  </si>
  <si>
    <t>SUM all</t>
  </si>
  <si>
    <t>House</t>
  </si>
  <si>
    <t>Market Context Apartments</t>
  </si>
  <si>
    <t>Number of years</t>
  </si>
  <si>
    <t>Private wellbeing monetary</t>
  </si>
  <si>
    <t>Row Labels</t>
  </si>
  <si>
    <t>Grand Total</t>
  </si>
  <si>
    <t>Sum of Public cash monetary</t>
  </si>
  <si>
    <t>Sum of Private cash monetary</t>
  </si>
  <si>
    <t>Sum of Private wellbeing monetary</t>
  </si>
  <si>
    <t>Sum of Privtate cash and wellbeing monetary</t>
  </si>
  <si>
    <t>Sum of Total cash and wellbeing monetary</t>
  </si>
  <si>
    <t>Sum of Homlessness public sector offset</t>
  </si>
  <si>
    <t>Sum of Public sector health and DV offset</t>
  </si>
  <si>
    <t>Sum of Tenant finance</t>
  </si>
  <si>
    <t>Turnover rate</t>
  </si>
  <si>
    <t>Average 40 years</t>
  </si>
  <si>
    <t>Average per dwell, 40 years</t>
  </si>
  <si>
    <t>ENVIRONMENTAL MODULE</t>
  </si>
  <si>
    <t>Wrap-around homelessness service</t>
  </si>
  <si>
    <t>Wrap around</t>
  </si>
  <si>
    <t>No</t>
  </si>
  <si>
    <t>Yes</t>
  </si>
  <si>
    <t>Public  monetary</t>
  </si>
  <si>
    <t>Private monetary</t>
  </si>
  <si>
    <t>Private monetary and wellbeing monetary</t>
  </si>
  <si>
    <t>Total monetary and wellbeing monetary</t>
  </si>
  <si>
    <t>State/Territories</t>
  </si>
  <si>
    <t>ACT</t>
  </si>
  <si>
    <t>NSW</t>
  </si>
  <si>
    <t>NT</t>
  </si>
  <si>
    <t>Qld</t>
  </si>
  <si>
    <t>SA</t>
  </si>
  <si>
    <t>Tas</t>
  </si>
  <si>
    <t>Vic</t>
  </si>
  <si>
    <t>WA</t>
  </si>
  <si>
    <t>Location</t>
  </si>
  <si>
    <t>Capital City</t>
  </si>
  <si>
    <t>Regional City</t>
  </si>
  <si>
    <t>Note: Based on the ratio of rental prices within Sydney using bond lodgements from 2021.  For the capital city, inner-city bonds within 5km of postcode 2000 were excluded.</t>
  </si>
  <si>
    <t>6-bed</t>
  </si>
  <si>
    <t>Flat</t>
  </si>
  <si>
    <t>Ratio</t>
  </si>
  <si>
    <t>Bedrooms</t>
  </si>
  <si>
    <t>Search</t>
  </si>
  <si>
    <t>Price</t>
  </si>
  <si>
    <t>Reference and Notes</t>
  </si>
  <si>
    <t>West and North</t>
  </si>
  <si>
    <t>Outer South</t>
  </si>
  <si>
    <t>Sydney Outer</t>
  </si>
  <si>
    <t>Wollongong</t>
  </si>
  <si>
    <t>Scaled Northern Suburbs Median 3-bedroom</t>
  </si>
  <si>
    <t>Scaled Median 2-bedroom</t>
  </si>
  <si>
    <t>Scaled Alice Springs Median 3-bedroom</t>
  </si>
  <si>
    <t>Scaled Alice Springs Median</t>
  </si>
  <si>
    <t>Brisbane Outer</t>
  </si>
  <si>
    <t>Townsville</t>
  </si>
  <si>
    <t>Adelaide Outer</t>
  </si>
  <si>
    <t>Mt. Gambier</t>
  </si>
  <si>
    <t>Hobart Outer</t>
  </si>
  <si>
    <t>Launceston</t>
  </si>
  <si>
    <t>Melbourne Outer</t>
  </si>
  <si>
    <t>Ballarat</t>
  </si>
  <si>
    <t>Perth Outer (Don't specify by specific size)</t>
  </si>
  <si>
    <t>Albany (Don't specify by specific size)</t>
  </si>
  <si>
    <t>Representative market</t>
  </si>
  <si>
    <t>Representative market rents</t>
  </si>
  <si>
    <t>% of market rent</t>
  </si>
  <si>
    <t>Affordability rent discount</t>
  </si>
  <si>
    <t>Calculator</t>
  </si>
  <si>
    <t>Apartment style flats</t>
  </si>
  <si>
    <t>Detached/semi-detached/townhouses</t>
  </si>
  <si>
    <t>Number</t>
  </si>
  <si>
    <t>Average size (sqm)</t>
  </si>
  <si>
    <t>User providing rental data?</t>
  </si>
  <si>
    <t>Base year of calculation</t>
  </si>
  <si>
    <t>First year of operation</t>
  </si>
  <si>
    <t>Year of operation</t>
  </si>
  <si>
    <t>Using own rental information</t>
  </si>
  <si>
    <t>Per cent</t>
  </si>
  <si>
    <t>Select</t>
  </si>
  <si>
    <t>Inflation adjusted to base year</t>
  </si>
  <si>
    <t>Calculation basis</t>
  </si>
  <si>
    <t>REMEMBER TO ADJUST FOR BASE YEAR EFFECT</t>
  </si>
  <si>
    <t>NatHERS</t>
  </si>
  <si>
    <t>Aff</t>
  </si>
  <si>
    <t>Couple Only</t>
  </si>
  <si>
    <t>QLD</t>
  </si>
  <si>
    <t>TAS</t>
  </si>
  <si>
    <t>VIC</t>
  </si>
  <si>
    <t>Lone Person</t>
  </si>
  <si>
    <t>Apartments</t>
  </si>
  <si>
    <t>Houses</t>
  </si>
  <si>
    <t>Price Apartment</t>
  </si>
  <si>
    <t>Social housing rent per week</t>
  </si>
  <si>
    <t>Nominal saving social housing rent</t>
  </si>
  <si>
    <t>NB Base rent for each capital city and region based no 2019/20 SIH</t>
  </si>
  <si>
    <t>Rent by household composition based on distribution of rents 2017/18 SIH</t>
  </si>
  <si>
    <t>Effective market discount</t>
  </si>
  <si>
    <t>SOCIAL INFRASTRUCTURE MODULE</t>
  </si>
  <si>
    <t>Energy Rating (stars) - NatHERS Star Band Criteria (Energy Loads [thermal] in MJ/m2.annum)</t>
  </si>
  <si>
    <t>Canopy cover</t>
  </si>
  <si>
    <t>Yrs 1-5</t>
  </si>
  <si>
    <t>Yrs 6-10</t>
  </si>
  <si>
    <t>Yrs 10-20</t>
  </si>
  <si>
    <t>Yrs 20+</t>
  </si>
  <si>
    <t>CO2 sequestation</t>
  </si>
  <si>
    <t>CO2 sequestration total</t>
  </si>
  <si>
    <t>CO2 sequestration value, $</t>
  </si>
  <si>
    <t>12-month average EU carbon price</t>
  </si>
  <si>
    <t>Australian-EU currency exchange rate</t>
  </si>
  <si>
    <t>12-month average exchange rate</t>
  </si>
  <si>
    <t>Urban cooling</t>
  </si>
  <si>
    <t>Extreme temperature days</t>
  </si>
  <si>
    <t>Number of days over 30 degrees</t>
  </si>
  <si>
    <t xml:space="preserve">Public </t>
  </si>
  <si>
    <t>Development size</t>
  </si>
  <si>
    <t>Total sqm of development site</t>
  </si>
  <si>
    <t>Area of new/additional canopy coverage, sqm</t>
  </si>
  <si>
    <t>Health benefit from cooling (canopy v no veg)</t>
  </si>
  <si>
    <t>Memo items</t>
  </si>
  <si>
    <t>Pre-existing green open space, %</t>
  </si>
  <si>
    <t>Pre-existing canopy covered space, %</t>
  </si>
  <si>
    <t>After development green open space, %</t>
  </si>
  <si>
    <t>After development canopy covered space, %</t>
  </si>
  <si>
    <t xml:space="preserve"> --- Canopy coverage of small green spaces, sqm</t>
  </si>
  <si>
    <t xml:space="preserve"> --- Canopy coverage of medium green spaces, sqm</t>
  </si>
  <si>
    <t>Memo ites</t>
  </si>
  <si>
    <t>Number of properties</t>
  </si>
  <si>
    <t>After development canopy cover, sqm</t>
  </si>
  <si>
    <t>Health benefit from cooling (green space v no veg)</t>
  </si>
  <si>
    <t>After development green open space, sqm</t>
  </si>
  <si>
    <t>Reduced cooling cost (canopy v no veg)</t>
  </si>
  <si>
    <t>Reduced cooling cost green space v no veg)</t>
  </si>
  <si>
    <t>in tons</t>
  </si>
  <si>
    <t>Reduced GHG from cooling (canopy v no veg)</t>
  </si>
  <si>
    <t>Reduced GHG from cooling (green space v no veg)</t>
  </si>
  <si>
    <t>Electricity price</t>
  </si>
  <si>
    <t>Price per kwh, $</t>
  </si>
  <si>
    <t>Cooling</t>
  </si>
  <si>
    <t>Medium park</t>
  </si>
  <si>
    <t>Green space (medium)  - open and canopied (1,500m2 to 4,999m2)</t>
  </si>
  <si>
    <t>Green space (large) - open and canopied (5,000m2 to 50,000m2)</t>
  </si>
  <si>
    <t>Green space (small)  - open and canopied (300m2 to 1,499m2)</t>
  </si>
  <si>
    <t>Canopy provided along walkways and open spaces (excluding small, medium &amp; large green space), sqm</t>
  </si>
  <si>
    <t>Time value of money</t>
  </si>
  <si>
    <t>Real discount rate</t>
  </si>
  <si>
    <t>GHG reduction ($)</t>
  </si>
  <si>
    <t>CO2 sequestration (tons)</t>
  </si>
  <si>
    <t>Consumer prince index</t>
  </si>
  <si>
    <t>Energy poverty - reduced cooling cost ($)</t>
  </si>
  <si>
    <t>Heat and clean air benefit ($)</t>
  </si>
  <si>
    <t>Total monetary environmental ($)</t>
  </si>
  <si>
    <t>Lables for sequestration graph</t>
  </si>
  <si>
    <t>with estimates of the wider social, economic and environmental benefits that social and affordable</t>
  </si>
  <si>
    <t>housing can provide.  The calculator consists of three components:</t>
  </si>
  <si>
    <t>1. A social and affordable (tenure) specific module that estimates of public sector cost offsets, tenant financial benefits and tenant wellbeing benefits. The current version contains the beta-version of this component.</t>
  </si>
  <si>
    <t>INSTRUCTIONS</t>
  </si>
  <si>
    <t>This calculator will allow you to estimate the wider social, economic and environmental benefits associated with new S&amp;A-Housing development. In all instances, except homelessness, the counterfactual outcomes considered is private rental tenancy.</t>
  </si>
  <si>
    <t>Cells that are coloured in</t>
  </si>
  <si>
    <t>GREEN</t>
  </si>
  <si>
    <t xml:space="preserve">Cells that are coloured in </t>
  </si>
  <si>
    <t xml:space="preserve">All cells exepct those coloured in </t>
  </si>
  <si>
    <t>are intended to be locked to avoid inadvertedly changing calculations/methods.</t>
  </si>
  <si>
    <t>SUA_CODE_2016</t>
  </si>
  <si>
    <t>AREA_ALBERS_SQKM</t>
  </si>
  <si>
    <t>Total Persons Place of Usual Residence</t>
  </si>
  <si>
    <t>Density</t>
  </si>
  <si>
    <t>Not in any Significant Urban Area (NSW)</t>
  </si>
  <si>
    <t>Albury - Wodonga</t>
  </si>
  <si>
    <t>Armidale</t>
  </si>
  <si>
    <t>Ballina</t>
  </si>
  <si>
    <t>Batemans Bay</t>
  </si>
  <si>
    <t>Bathurst</t>
  </si>
  <si>
    <t>Bowral - Mittagong</t>
  </si>
  <si>
    <t>Broken Hill</t>
  </si>
  <si>
    <t>Camden Haven</t>
  </si>
  <si>
    <t>Central Coast</t>
  </si>
  <si>
    <t>Coffs Harbour</t>
  </si>
  <si>
    <t>Dubbo</t>
  </si>
  <si>
    <t>Forster - Tuncurry</t>
  </si>
  <si>
    <t>Goulburn</t>
  </si>
  <si>
    <t>Grafton</t>
  </si>
  <si>
    <t>Griffith</t>
  </si>
  <si>
    <t>Kempsey</t>
  </si>
  <si>
    <t>Lismore</t>
  </si>
  <si>
    <t>Lithgow</t>
  </si>
  <si>
    <t>Morisset - Cooranbong</t>
  </si>
  <si>
    <t>Mudgee</t>
  </si>
  <si>
    <t>Muswellbrook</t>
  </si>
  <si>
    <t>Nelson Bay</t>
  </si>
  <si>
    <t>Newcastle - Maitland</t>
  </si>
  <si>
    <t>Nowra - Bomaderry</t>
  </si>
  <si>
    <t>Orange</t>
  </si>
  <si>
    <t>Port Macquarie</t>
  </si>
  <si>
    <t>Singleton</t>
  </si>
  <si>
    <t>St Georges Basin - Sanctuary Point</t>
  </si>
  <si>
    <t>Sydney</t>
  </si>
  <si>
    <t>Tamworth</t>
  </si>
  <si>
    <t>Taree</t>
  </si>
  <si>
    <t>Ulladulla</t>
  </si>
  <si>
    <t>Wagga Wagga</t>
  </si>
  <si>
    <t>Not in any Significant Urban Area (Vic.)</t>
  </si>
  <si>
    <t>Bacchus Marsh</t>
  </si>
  <si>
    <t>Bairnsdale</t>
  </si>
  <si>
    <t>Bendigo</t>
  </si>
  <si>
    <t>Colac</t>
  </si>
  <si>
    <t>Echuca - Moama</t>
  </si>
  <si>
    <t>Geelong</t>
  </si>
  <si>
    <t>Horsham</t>
  </si>
  <si>
    <t>Melbourne</t>
  </si>
  <si>
    <t>Moe - Newborough</t>
  </si>
  <si>
    <t>Portland</t>
  </si>
  <si>
    <t>Sale</t>
  </si>
  <si>
    <t>Shepparton - Mooroopna</t>
  </si>
  <si>
    <t>Swan Hill</t>
  </si>
  <si>
    <t>Traralgon - Morwell</t>
  </si>
  <si>
    <t>Wangaratta</t>
  </si>
  <si>
    <t>Warragul - Drouin</t>
  </si>
  <si>
    <t>Warrnambool</t>
  </si>
  <si>
    <t>Not in any Significant Urban Area (Qld)</t>
  </si>
  <si>
    <t>Brisbane</t>
  </si>
  <si>
    <t>Bundaberg</t>
  </si>
  <si>
    <t>Cairns</t>
  </si>
  <si>
    <t>Emerald</t>
  </si>
  <si>
    <t>Gold Coast - Tweed Heads</t>
  </si>
  <si>
    <t>Gympie</t>
  </si>
  <si>
    <t>Hervey Bay</t>
  </si>
  <si>
    <t>Kingaroy</t>
  </si>
  <si>
    <t>Mackay</t>
  </si>
  <si>
    <t>Maryborough</t>
  </si>
  <si>
    <t>Mount Isa</t>
  </si>
  <si>
    <t>Rockhampton</t>
  </si>
  <si>
    <t>Sunshine Coast</t>
  </si>
  <si>
    <t>Toowoomba</t>
  </si>
  <si>
    <t>Warwick</t>
  </si>
  <si>
    <t>Yeppoon</t>
  </si>
  <si>
    <t>Not in any Significant Urban Area (SA)</t>
  </si>
  <si>
    <t>Adelaide</t>
  </si>
  <si>
    <t>Mount Gambier</t>
  </si>
  <si>
    <t>Murray Bridge</t>
  </si>
  <si>
    <t>Port Augusta</t>
  </si>
  <si>
    <t>Port Lincoln</t>
  </si>
  <si>
    <t>Port Pirie</t>
  </si>
  <si>
    <t>Victor Harbor - Goolwa</t>
  </si>
  <si>
    <t>Whyalla</t>
  </si>
  <si>
    <t>Not in any Significant Urban Area (WA)</t>
  </si>
  <si>
    <t>Albany</t>
  </si>
  <si>
    <t>Broome</t>
  </si>
  <si>
    <t>Bunbury</t>
  </si>
  <si>
    <t>Busselton</t>
  </si>
  <si>
    <t>Esperance</t>
  </si>
  <si>
    <t>Geraldton</t>
  </si>
  <si>
    <t>Kalgoorlie - Boulder</t>
  </si>
  <si>
    <t>Karratha</t>
  </si>
  <si>
    <t>Perth</t>
  </si>
  <si>
    <t>Port Hedland</t>
  </si>
  <si>
    <t>Not in any Significant Urban Area (Tas.)</t>
  </si>
  <si>
    <t>Devonport</t>
  </si>
  <si>
    <t>Hobart</t>
  </si>
  <si>
    <t>Ulverstone</t>
  </si>
  <si>
    <t>Not in any Significant Urban Area (NT)</t>
  </si>
  <si>
    <t>Alice Springs</t>
  </si>
  <si>
    <t>Darwin</t>
  </si>
  <si>
    <t>Not in any Significant Urban Area (ACT)</t>
  </si>
  <si>
    <t>Canberra - Queanbeyan</t>
  </si>
  <si>
    <t>Not in any Significant Urban Area (OT)</t>
  </si>
  <si>
    <t xml:space="preserve">Air quality </t>
  </si>
  <si>
    <t>Damage cost per ton, 2022</t>
  </si>
  <si>
    <t>Significant Urban Area</t>
  </si>
  <si>
    <t>2022 values (assumed 5% infl in 2022)</t>
  </si>
  <si>
    <t>Version: EPiC Database 2019</t>
  </si>
  <si>
    <t>Functional unit</t>
  </si>
  <si>
    <t>Embodied Energy (MJ)</t>
  </si>
  <si>
    <t>Embodied Water (L)</t>
  </si>
  <si>
    <t>Embodied Greenhouse Gas Emissions (kgCO₂e)</t>
  </si>
  <si>
    <t>Citation: Crawford, R.H., Stephan, A. and Prideaux, F. (2019) Environmental Performance in Construction (EPiC) Database, The University of Melbourne, Melbourne.</t>
  </si>
  <si>
    <t>Full database: https://doi.org/10.26188/5dc228ef98c5a</t>
  </si>
  <si>
    <t>Further information: www.epicdatabase.com.au</t>
  </si>
  <si>
    <t>License: Creative Commons (by-nc-nd)</t>
  </si>
  <si>
    <t>Material</t>
  </si>
  <si>
    <t>More information</t>
  </si>
  <si>
    <t>Concrete and plaster products</t>
  </si>
  <si>
    <t>Blocks</t>
  </si>
  <si>
    <t>Concrete block</t>
  </si>
  <si>
    <t>kg</t>
  </si>
  <si>
    <t>http://doi.org/10.26188/5da552ea39cdc</t>
  </si>
  <si>
    <t>Concrete block - 390 × 190 × 90 mm</t>
  </si>
  <si>
    <t>no.</t>
  </si>
  <si>
    <t>Concrete block - 390 × 190 × 140 mm</t>
  </si>
  <si>
    <t>Concrete block - 390 × 190 × 190 mm</t>
  </si>
  <si>
    <t>Cement</t>
  </si>
  <si>
    <t>Cement mortar</t>
  </si>
  <si>
    <t>http://doi.org/10.26188/5da5528f75432</t>
  </si>
  <si>
    <t>Portland cement</t>
  </si>
  <si>
    <t>http://doi.org/10.26188/5da55701cee5d</t>
  </si>
  <si>
    <t>Concrete</t>
  </si>
  <si>
    <t>Autoclaved aerated concrete (AAC)</t>
  </si>
  <si>
    <t>http://doi.org/10.26188/5da551fc254d7</t>
  </si>
  <si>
    <t>AAC block - 600 × 200 × 100 mm</t>
  </si>
  <si>
    <t>AAC block - 600 × 200 × 150 mm</t>
  </si>
  <si>
    <t>AAC block - 600 × 200 × 200 mm</t>
  </si>
  <si>
    <t>Concrete 20 MPa</t>
  </si>
  <si>
    <t>m³</t>
  </si>
  <si>
    <t>http://doi.org/10.26188/5da54a205d0e5</t>
  </si>
  <si>
    <t>Concrete 20 MPa - 30% fly ash</t>
  </si>
  <si>
    <t>Concrete 20 MPa - 30% GGBFS</t>
  </si>
  <si>
    <t>Concrete 25 MPa</t>
  </si>
  <si>
    <t>http://doi.org/10.26188/5da54a4ae57a1</t>
  </si>
  <si>
    <t>Concrete 25 MPa - 30% fly ash</t>
  </si>
  <si>
    <t>Concrete 25 MPa - 30% GGBFS</t>
  </si>
  <si>
    <t>Concrete 32 MPa</t>
  </si>
  <si>
    <t>http://doi.org/10.26188/5da550538b369</t>
  </si>
  <si>
    <t>Concrete 32 MPa - 30% fly ash</t>
  </si>
  <si>
    <t>Concrete 32 MPa - 30% GGBFS</t>
  </si>
  <si>
    <t>Concrete 40 MPa</t>
  </si>
  <si>
    <t>http://doi.org/10.26188/5da5507e33fe6</t>
  </si>
  <si>
    <t>Concrete 40 MPa - 30% fly ash</t>
  </si>
  <si>
    <t>Concrete 40 MPa - 30% GGBFS</t>
  </si>
  <si>
    <t>Concrete 50 MPa</t>
  </si>
  <si>
    <t>http://doi.org/10.26188/5da5514c0eea5</t>
  </si>
  <si>
    <t>Concrete 50 MPa - 30% fly ash</t>
  </si>
  <si>
    <t>Concrete 50 MPa - 30% GGBFS</t>
  </si>
  <si>
    <t>Fibre cement</t>
  </si>
  <si>
    <t>Fibre cement weatherboard</t>
  </si>
  <si>
    <t>http://doi.org/10.26188/5da55463adae0</t>
  </si>
  <si>
    <t>FC weatherboard - 150 × 16 mm - per m² wall</t>
  </si>
  <si>
    <t>m²</t>
  </si>
  <si>
    <t>FC weatherboard - 180 × 16 mm - per m² wall</t>
  </si>
  <si>
    <t>FC weatherboard - 205 × 7.5 mm - per m² wall</t>
  </si>
  <si>
    <t>FC weatherboard - 230 × 7.5 mm - per m² wall</t>
  </si>
  <si>
    <t>FC weatherboard - 300 × 7.5 mm - per m² wall</t>
  </si>
  <si>
    <t>Fibre cement sheet</t>
  </si>
  <si>
    <t>http://doi.org/10.26188/5da554545f280</t>
  </si>
  <si>
    <t>Fibre cement sheet - 4.5 mm</t>
  </si>
  <si>
    <t>Fibre cement sheet - 6 mm</t>
  </si>
  <si>
    <t>Fibre cement sheet - 7.5 mm</t>
  </si>
  <si>
    <t>Fibre cement sheet - 18 mm</t>
  </si>
  <si>
    <t>Fibre cement sheet - 24 mm</t>
  </si>
  <si>
    <t>Plaster</t>
  </si>
  <si>
    <t>Gypsum plaster</t>
  </si>
  <si>
    <t>http://doi.org/10.26188/5da554d7d6197</t>
  </si>
  <si>
    <t>Plasterboard - 10 mm</t>
  </si>
  <si>
    <t>http://doi.org/10.26188/5da556516b6e3</t>
  </si>
  <si>
    <t>Plasterboard - 13 mm</t>
  </si>
  <si>
    <t>Tiles</t>
  </si>
  <si>
    <t>Concrete roof tile</t>
  </si>
  <si>
    <t>http://doi.org/10.26188/5da552f96c488</t>
  </si>
  <si>
    <t>Glass</t>
  </si>
  <si>
    <t>Flat glass</t>
  </si>
  <si>
    <t>Double glazing - flat glass</t>
  </si>
  <si>
    <t>http://doi.org/10.26188/5da55375f3452</t>
  </si>
  <si>
    <t>Double glazing - flat glass, 4:12:4</t>
  </si>
  <si>
    <t>Double glazing - flat glass, 6:6:6</t>
  </si>
  <si>
    <t>Double glazing - flat glass, 6:12:6</t>
  </si>
  <si>
    <t>http://doi.org/10.26188/5da554738e0e0</t>
  </si>
  <si>
    <t>Flat glass sheet - 3 mm</t>
  </si>
  <si>
    <t>Flat glass sheet - 4 mm</t>
  </si>
  <si>
    <t>Flat glass sheet - 5 mm</t>
  </si>
  <si>
    <t>Flat glass sheet - 6 mm</t>
  </si>
  <si>
    <t>Flat glass sheet - 10 mm</t>
  </si>
  <si>
    <t>Flat glass sheet - 12 mm</t>
  </si>
  <si>
    <t>Laminated glass</t>
  </si>
  <si>
    <t>http://doi.org/10.26188/5da5556225c38</t>
  </si>
  <si>
    <t>Laminated glass sheet - 6.38 mm</t>
  </si>
  <si>
    <t>Laminated glass sheet - 8.38 mm</t>
  </si>
  <si>
    <t>Laminated glass sheet - 10.38 mm</t>
  </si>
  <si>
    <t>Laminated glass sheet - 12.38 mm</t>
  </si>
  <si>
    <t>Toughened glass</t>
  </si>
  <si>
    <t>Double glazing - toughened glass</t>
  </si>
  <si>
    <t>http://doi.org/10.26188/5da553f3e04ff</t>
  </si>
  <si>
    <t>Double glazing - toughened glass, 4:12:4</t>
  </si>
  <si>
    <t>Double glazing - toughened glass, 5:6:5</t>
  </si>
  <si>
    <t>Double glazing - toughened glass, 5:12:5</t>
  </si>
  <si>
    <t>Double glazing - toughened glass, 6:6:6</t>
  </si>
  <si>
    <t>Double glazing - toughened glass, 6:12:6</t>
  </si>
  <si>
    <t>Double glazing - toughened glass, 10:6:6</t>
  </si>
  <si>
    <t>Double glazing - toughened glass, 10:6:10</t>
  </si>
  <si>
    <t>Double glazing - toughened glass, 10:12:6</t>
  </si>
  <si>
    <t>Double glazing - toughened glass, 10:12:10</t>
  </si>
  <si>
    <t>http://doi.org/10.26188/5da5589913df4</t>
  </si>
  <si>
    <t>Toughened glass sheet - 3 mm</t>
  </si>
  <si>
    <t>Toughened glass sheet - 4 mm</t>
  </si>
  <si>
    <t>Toughened glass sheet - 5 mm</t>
  </si>
  <si>
    <t>Toughened glass sheet - 6 mm</t>
  </si>
  <si>
    <t>Toughened glass sheet - 10 mm</t>
  </si>
  <si>
    <t>Toughened glass sheet - 12 mm</t>
  </si>
  <si>
    <t>Insulation</t>
  </si>
  <si>
    <t>Cellulose</t>
  </si>
  <si>
    <t>Cellulose insulation</t>
  </si>
  <si>
    <t>http://doi.org/10.26188/5da5528023cab</t>
  </si>
  <si>
    <t>Cellulose insulation - 80 mm (R2)</t>
  </si>
  <si>
    <t>Cellulose insulation - 100 mm (R2.5)</t>
  </si>
  <si>
    <t>Other</t>
  </si>
  <si>
    <t>Aluminium foil insulation</t>
  </si>
  <si>
    <t>http://doi.org/10.26188/5da551d0640fa</t>
  </si>
  <si>
    <t>Glasswool insulation</t>
  </si>
  <si>
    <t>http://doi.org/10.26188/5da55494afb75</t>
  </si>
  <si>
    <t>Glasswool insulation - 80 mm (R2)</t>
  </si>
  <si>
    <t>Glasswool insulation - 100 mm (R2.5)</t>
  </si>
  <si>
    <t>Rockwool insulation</t>
  </si>
  <si>
    <t>http://doi.org/10.26188/5da55737d3e5e</t>
  </si>
  <si>
    <t>Rockwool insulation - 80 mm (R2)</t>
  </si>
  <si>
    <t>Rockwool insulation - 100 mm (R2.5)</t>
  </si>
  <si>
    <t>Polystyrene</t>
  </si>
  <si>
    <t>Polystyrene (EPS/XPS) insulation</t>
  </si>
  <si>
    <t>http://doi.org/10.26188/5da556cc242c5</t>
  </si>
  <si>
    <t>EPS/XPS insulation - 72 mm (R2)</t>
  </si>
  <si>
    <t>EPS/XPS insulation - 90 mm (R2.5)</t>
  </si>
  <si>
    <t>Polyurethane</t>
  </si>
  <si>
    <t>Polyurethane (PU) rigid foam insulation</t>
  </si>
  <si>
    <t>http://doi.org/10.26188/5da556ef90771</t>
  </si>
  <si>
    <t>PU rigid foam insulation - 44 mm (R2)</t>
  </si>
  <si>
    <t>PU rigid foam insulation - 55 mm (R2.5)</t>
  </si>
  <si>
    <t>Metals</t>
  </si>
  <si>
    <t>Aluminium</t>
  </si>
  <si>
    <t>Aluminium bar</t>
  </si>
  <si>
    <t>http://doi.org/10.26188/5da5519635948</t>
  </si>
  <si>
    <t>Aluminium bar flat - 12 mm × 3mm</t>
  </si>
  <si>
    <t>m</t>
  </si>
  <si>
    <t>Aluminium bar flat - 40 mm × 3mm</t>
  </si>
  <si>
    <t>Aluminium bar flat - 100 mm × 6mm</t>
  </si>
  <si>
    <t>Aluminium bar round - 16 mm dia.</t>
  </si>
  <si>
    <t>Aluminium bar round - 50 mm dia.</t>
  </si>
  <si>
    <t>Aluminium bar round - 150 mm dia.</t>
  </si>
  <si>
    <t>Aluminium composite panel</t>
  </si>
  <si>
    <t>http://doi.org/10.26188/5da551a4afce4</t>
  </si>
  <si>
    <t>Aluminium extruded</t>
  </si>
  <si>
    <t>http://doi.org/10.26188/5da551b3248d5</t>
  </si>
  <si>
    <t>Aluminium angle extruded</t>
  </si>
  <si>
    <t>Aluminium extruded powdercoated</t>
  </si>
  <si>
    <t>Aluminium round tube - 25 mm dia., 3.2 mm thick</t>
  </si>
  <si>
    <t>Aluminium round tube - 60 mm dia., 10 mm thick</t>
  </si>
  <si>
    <t>Aluminium round tube - 80 mm dia., 6 mm thick</t>
  </si>
  <si>
    <t>Aluminium square tube - 20 × 20 mm, 1.6 mm thick</t>
  </si>
  <si>
    <t>Aluminium square tube - 40 × 40 mm, 2 mm thick</t>
  </si>
  <si>
    <t>Aluminium square tube - 100 × 100 mm, 3 mm thick</t>
  </si>
  <si>
    <t>Aluminium sheet</t>
  </si>
  <si>
    <t>http://doi.org/10.26188/5da551dec2e47</t>
  </si>
  <si>
    <t>Aluminium sheet - 1.6 mm</t>
  </si>
  <si>
    <t>Aluminium sheet - 3 mm</t>
  </si>
  <si>
    <t>Aluminium sheet - 6 mm</t>
  </si>
  <si>
    <t>Copper</t>
  </si>
  <si>
    <t>Copper pipe</t>
  </si>
  <si>
    <t>http://doi.org/10.26188/5da55317e50fc</t>
  </si>
  <si>
    <t>Copper pipe - 12.7 mm outer dia., 0.91 mm thick</t>
  </si>
  <si>
    <t>Copper pipe - 19.05 mm outer dia., 1.02 mm thick</t>
  </si>
  <si>
    <t>Copper pipe - 40 mm outer dia., 1.22 mm thick</t>
  </si>
  <si>
    <t>Copper sheet</t>
  </si>
  <si>
    <t>http://doi.org/10.26188/5da55308b9bbe</t>
  </si>
  <si>
    <t>Copper sheet - 0.9 mm</t>
  </si>
  <si>
    <t>Copper sheet - 1.2 mm</t>
  </si>
  <si>
    <t>Copper sheet - 2 mm</t>
  </si>
  <si>
    <t>Copper sheet - 3 mm</t>
  </si>
  <si>
    <t>Copper wire</t>
  </si>
  <si>
    <t>http://doi.org/10.26188/5da553272580f</t>
  </si>
  <si>
    <t>Stainless steel</t>
  </si>
  <si>
    <t>Stainless steel wire</t>
  </si>
  <si>
    <t>http://doi.org/10.26188/5da5580349dda</t>
  </si>
  <si>
    <t>Bare wire - 2 mm dia.</t>
  </si>
  <si>
    <t>Bare wire - 3.2 mm dia.</t>
  </si>
  <si>
    <t>Wire Rope - 1.6 mm dia.</t>
  </si>
  <si>
    <t>Wire Rope - 4 mm dia.</t>
  </si>
  <si>
    <t>Wire Rope - 8 mm dia.</t>
  </si>
  <si>
    <t>Wire Rope - 12 mm dia.</t>
  </si>
  <si>
    <t>Cold rolled stainless steel</t>
  </si>
  <si>
    <t>http://doi.org/10.26188/5dd09ea396b11</t>
  </si>
  <si>
    <t>Stainless steel extruded</t>
  </si>
  <si>
    <t>http://doi.org/10.26188/5da557cc41ed8</t>
  </si>
  <si>
    <t>Stainless steel sheet</t>
  </si>
  <si>
    <t>http://doi.org/10.26188/5da557de9ee33</t>
  </si>
  <si>
    <t>Stainless steel sheet products</t>
  </si>
  <si>
    <t>Steel</t>
  </si>
  <si>
    <t>Cold rolled steel</t>
  </si>
  <si>
    <t>http://doi.org/10.26188/5da552dadce9f</t>
  </si>
  <si>
    <t>Hot rolled galvanised structural steel</t>
  </si>
  <si>
    <t>http://doi.org/10.26188/5da5554017f41</t>
  </si>
  <si>
    <t>Hot rolled structural steel</t>
  </si>
  <si>
    <t>http://doi.org/10.26188/5da55550a40e9</t>
  </si>
  <si>
    <t>Steel reinforcement bar - 6 mm dia.</t>
  </si>
  <si>
    <t>Steel reinforcement bar - 8 mm dia.</t>
  </si>
  <si>
    <t>Steel reinforcement bar - 12 mm dia.</t>
  </si>
  <si>
    <t>Steel hollow section extruded</t>
  </si>
  <si>
    <t>http://doi.org/10.26188/5da558259be14</t>
  </si>
  <si>
    <t>Square tube - 20 × 20 mm, 1.6 mm thick</t>
  </si>
  <si>
    <t>Square tube - 50 × 50 mm, 2 mm thick</t>
  </si>
  <si>
    <t>Square tube - 100 × 100 mm, 4 mm thick</t>
  </si>
  <si>
    <t>Steel bar</t>
  </si>
  <si>
    <t>http://doi.org/10.26188/5da55814c051c</t>
  </si>
  <si>
    <t>Steel pipe</t>
  </si>
  <si>
    <t>http://doi.org/10.26188/5da5583906307</t>
  </si>
  <si>
    <t>Steel pipe - 21.3 mm outer dia., 2.6 mm thick</t>
  </si>
  <si>
    <t>Steel pipe - 42.4 mm outer dia., 2.6 mm thick</t>
  </si>
  <si>
    <t>Steel pipe - 88.9 mm outer dia., 4 mm thick</t>
  </si>
  <si>
    <t>Steel pipe - 165.1 mm outer dia., 4.9 mm thick</t>
  </si>
  <si>
    <t>Steel sheet corrugated</t>
  </si>
  <si>
    <t>http://doi.org/10.26188/5da5584b06f9b</t>
  </si>
  <si>
    <t>Steel sheet corrugated - pre-painted</t>
  </si>
  <si>
    <t>Steel sheet corrugated - per square metre</t>
  </si>
  <si>
    <t>Miscellaneous</t>
  </si>
  <si>
    <t>Asphalt</t>
  </si>
  <si>
    <t>http://doi.org/10.26188/5da551ed753b9</t>
  </si>
  <si>
    <t>Carpet</t>
  </si>
  <si>
    <t>Nylon carpet</t>
  </si>
  <si>
    <t>http://doi.org/10.26188/5da5521a352db</t>
  </si>
  <si>
    <t>Tufted carpet, nylon - prestige</t>
  </si>
  <si>
    <t>Tufted carpet, nylon - quality</t>
  </si>
  <si>
    <t>Woven carpet, nylon - average</t>
  </si>
  <si>
    <t>Woven carpet, nylon - quality</t>
  </si>
  <si>
    <t>Wool carpet</t>
  </si>
  <si>
    <t>http://doi.org/10.26188/5da55236c5619</t>
  </si>
  <si>
    <t>Tufted carpet, wool - prestige</t>
  </si>
  <si>
    <t>Tufted carpet, wool - quality</t>
  </si>
  <si>
    <t>Silicone</t>
  </si>
  <si>
    <t>http://doi.org/10.26188/5da55771ca8cf</t>
  </si>
  <si>
    <t>Solar hot water system</t>
  </si>
  <si>
    <t>http://doi.org/10.26188/5da557a8720ed</t>
  </si>
  <si>
    <t>Water</t>
  </si>
  <si>
    <t>http://doi.org/10.26188/5da558d1e3aa6</t>
  </si>
  <si>
    <t>Wood glue (PVA)</t>
  </si>
  <si>
    <t>http://doi.org/10.26188/5da558f73d913</t>
  </si>
  <si>
    <t>Paint</t>
  </si>
  <si>
    <t>Solvent-based paint</t>
  </si>
  <si>
    <t>http://doi.org/10.26188/5da557baa95ce</t>
  </si>
  <si>
    <t>Solvent-based paint - per m²</t>
  </si>
  <si>
    <t>Water-based paint</t>
  </si>
  <si>
    <t>http://doi.org/10.26188/5da558e47158f</t>
  </si>
  <si>
    <t>Water-based paint - per m²</t>
  </si>
  <si>
    <t>Paper</t>
  </si>
  <si>
    <t>Wallpaper</t>
  </si>
  <si>
    <t>http://doi.org/10.26188/5da558bf3c7d7</t>
  </si>
  <si>
    <t>Wallpaper - per m²</t>
  </si>
  <si>
    <t>Rubber</t>
  </si>
  <si>
    <t>Natural rubber</t>
  </si>
  <si>
    <t>http://doi.org/10.26188/5da555f8c2b02</t>
  </si>
  <si>
    <t>Synthetic rubber</t>
  </si>
  <si>
    <t>http://doi.org/10.26188/5da558867e249</t>
  </si>
  <si>
    <t>Plastics</t>
  </si>
  <si>
    <t>High density polyethylene (HDPE)</t>
  </si>
  <si>
    <t>High-density polyethylene (HDPE) film</t>
  </si>
  <si>
    <t>http://doi.org/10.26188/5da5551da9cb9</t>
  </si>
  <si>
    <t>HDPE film - 100 μm</t>
  </si>
  <si>
    <t>HDPE film - 200 μm</t>
  </si>
  <si>
    <t>High-density polyethylene (HDPE) pipe</t>
  </si>
  <si>
    <t>http://doi.org/10.26188/5da5552ee9ccf</t>
  </si>
  <si>
    <t>HDPE pipe - 32 mm inner dia., 1.88 mm thickness</t>
  </si>
  <si>
    <t>HDPE pipe - 63 mm inner dia., 3.75 mm thickness</t>
  </si>
  <si>
    <t>HDPE pipe - 125 mm inner dia., 7.35 mm thickness</t>
  </si>
  <si>
    <t>HDPE pipe - 250 mm inner dia., 14.71 mm thickness</t>
  </si>
  <si>
    <t>HDPE pipe - 500 mm inner dia., 29.41 mm thickness</t>
  </si>
  <si>
    <t>HDPE pipe - 800 mm inner dia., 47.06 mm thickness</t>
  </si>
  <si>
    <t>Low density polyethylene (LDPE)</t>
  </si>
  <si>
    <t>Low-density polyethylene (LDPE) film</t>
  </si>
  <si>
    <t>http://doi.org/10.26188/5da55582e7c62</t>
  </si>
  <si>
    <t>LDPE film - 100 μm</t>
  </si>
  <si>
    <t>LDPE film - 200 μm</t>
  </si>
  <si>
    <t>Low-density polyethylene (LDPE) pipe</t>
  </si>
  <si>
    <t>http://doi.org/10.26188/5da5559330846</t>
  </si>
  <si>
    <t>LDPE pipe - 13 mm inner dia., 3.95 mm thickness</t>
  </si>
  <si>
    <t>LDPE pipe - 19 mm inner dia., 4.4 mm thickness</t>
  </si>
  <si>
    <t>LDPE pipe - 25 mm inner dia., 5.2 mm thickness</t>
  </si>
  <si>
    <t>LDPE pipe - 32 mm inner dia., 6.7 mm thickness</t>
  </si>
  <si>
    <t>Nylon</t>
  </si>
  <si>
    <t>Nylon 66</t>
  </si>
  <si>
    <t>http://doi.org/10.26188/5da55609d0f6f</t>
  </si>
  <si>
    <t>Nylon 66 sheet - 1.5 mm</t>
  </si>
  <si>
    <t>Nylon 66 sheet - 3 mm</t>
  </si>
  <si>
    <t>Nylon 66 sheet - 5 mm</t>
  </si>
  <si>
    <t>Acrylonitrile butadiene styrene (ABS)</t>
  </si>
  <si>
    <t>http://doi.org/10.26188/5da55178a8ecb</t>
  </si>
  <si>
    <t>ABS panel - 2mm</t>
  </si>
  <si>
    <t>ABS panel - 3mm</t>
  </si>
  <si>
    <t>ABS pipe - 21.4 mm outer dia., 2.1 mm thick</t>
  </si>
  <si>
    <t>ABS pipe - 48.3 mm outer dia., 3.6 mm thick</t>
  </si>
  <si>
    <t>ABS pipe - 168.3 mm outer dia., 7.7 mm thick</t>
  </si>
  <si>
    <t>Ethylene tetrafluoroethylene (ETFE)</t>
  </si>
  <si>
    <t>http://doi.org/10.26188/5da554446a581</t>
  </si>
  <si>
    <t>ETFE film - 25.4 μm (0.001”)</t>
  </si>
  <si>
    <t>ETFE film - 50.8 μm (0.002”)</t>
  </si>
  <si>
    <t>ETFE film - 127 μm (0.005”)</t>
  </si>
  <si>
    <t>Glass reinforced plastic (GRP)</t>
  </si>
  <si>
    <t>http://doi.org/10.26188/5da55484429d7</t>
  </si>
  <si>
    <t>GRP panel - 10 mm</t>
  </si>
  <si>
    <t>GRP panel - 20 mm</t>
  </si>
  <si>
    <t>GRP panel - 50 mm</t>
  </si>
  <si>
    <t>Linoleum</t>
  </si>
  <si>
    <t>http://doi.org/10.26188/5da555a381ad3</t>
  </si>
  <si>
    <t>Linoleum sheet - 2 mm</t>
  </si>
  <si>
    <t>Linoleum sheet - 2.5 mm</t>
  </si>
  <si>
    <t>Linoleum sheet - 3.2 mm</t>
  </si>
  <si>
    <t>Linoleum sheet - 4 mm</t>
  </si>
  <si>
    <t>Polycarbonate</t>
  </si>
  <si>
    <t>http://doi.org/10.26188/5da556966a461</t>
  </si>
  <si>
    <t>Polycarbonate roofing sheet - 1 mm</t>
  </si>
  <si>
    <t>Polycarbonate roofing sheet - 2 mm</t>
  </si>
  <si>
    <t>Polycarbonate roofing sheet - 3 mm</t>
  </si>
  <si>
    <t>Polycarbonate roofing sheet - 6 mm</t>
  </si>
  <si>
    <t>Polymethyl methacrylate (PMMA)</t>
  </si>
  <si>
    <t>http://doi.org/10.26188/5da556a82dd9d</t>
  </si>
  <si>
    <t>PMMA sheet - 3 mm</t>
  </si>
  <si>
    <t>PMMA sheet - 4 mm</t>
  </si>
  <si>
    <t>PMMA sheet - 5 mm</t>
  </si>
  <si>
    <t>PMMA sheet - 6 mm</t>
  </si>
  <si>
    <t>PMMA sheet - 8 mm</t>
  </si>
  <si>
    <t>PMMA sheet - 10 mm</t>
  </si>
  <si>
    <t>Polypropylene</t>
  </si>
  <si>
    <t>Polypropylene (PP) sheet</t>
  </si>
  <si>
    <t>http://doi.org/10.26188/5da556bad2165</t>
  </si>
  <si>
    <t>PP sheet - 2 mm</t>
  </si>
  <si>
    <t>PP sheet - 3 mm</t>
  </si>
  <si>
    <t>PP sheet - 4 mm</t>
  </si>
  <si>
    <t>PP sheet - 6 mm</t>
  </si>
  <si>
    <t>PP sheet - 10 mm</t>
  </si>
  <si>
    <t>PP sheet - 12 mm</t>
  </si>
  <si>
    <t>PP sheet - 15 mm</t>
  </si>
  <si>
    <t>Polyurethane (PU) flexible foam</t>
  </si>
  <si>
    <t>http://doi.org/10.26188/5da556dde71cd</t>
  </si>
  <si>
    <t>PU foam underlay - 7 mm, 64 kg/m³</t>
  </si>
  <si>
    <t>PU foam underlay - 7 mm, 69 kg/m³</t>
  </si>
  <si>
    <t>PU foam underlay - 10 mm, 73 kg/m³</t>
  </si>
  <si>
    <t>PU foam underlay - 10 mm, 123 kg/m³</t>
  </si>
  <si>
    <t>Polyvinyl chloride (PVC)</t>
  </si>
  <si>
    <t>Polyvinyl chloride (PVC) film</t>
  </si>
  <si>
    <t>http://doi.org/10.26188/5da5571457bf1</t>
  </si>
  <si>
    <t>PVC film - 19 μm</t>
  </si>
  <si>
    <t>PVC film - 25 μm</t>
  </si>
  <si>
    <t>Unplasticised polyvinyl chloride (uPVC)</t>
  </si>
  <si>
    <t>http://doi.org/10.26188/5da558ad914dc</t>
  </si>
  <si>
    <t>uPVC pipe - 21.35 mm outer dia., 1.8 mm thick</t>
  </si>
  <si>
    <t>uPVC pipe - 60.25 mm outer dia., 2.6 mm thick</t>
  </si>
  <si>
    <t>uPVC pipe - 114.3 mm outer dia., 4.85 mm thick</t>
  </si>
  <si>
    <t>uPVC pipe - 225.3 mm outer dia., 11.1 mm thick</t>
  </si>
  <si>
    <t>Sand, stone and ceramics</t>
  </si>
  <si>
    <t>Brick</t>
  </si>
  <si>
    <t>Clay brick</t>
  </si>
  <si>
    <t>http://doi.org/10.26188/5da552ad307a9</t>
  </si>
  <si>
    <t>Gravel</t>
  </si>
  <si>
    <t>http://doi.org/10.26188/5da554c7241e7</t>
  </si>
  <si>
    <t>Recycled aggregate</t>
  </si>
  <si>
    <t>http://doi.org/10.26188/5da557263ad43</t>
  </si>
  <si>
    <t>Sand</t>
  </si>
  <si>
    <t>http://doi.org/10.26188/5da5574945e6e</t>
  </si>
  <si>
    <t>Sanitary ceramic</t>
  </si>
  <si>
    <t>http://doi.org/10.26188/5da5575bb1595</t>
  </si>
  <si>
    <t>Stone</t>
  </si>
  <si>
    <t>Dimension stone</t>
  </si>
  <si>
    <t>http://doi.org/10.26188/5da553562c7fa</t>
  </si>
  <si>
    <t>Ceramic tile</t>
  </si>
  <si>
    <t>http://doi.org/10.26188/5da5529e3a6be</t>
  </si>
  <si>
    <t>Clay roof tile</t>
  </si>
  <si>
    <t>http://doi.org/10.26188/5da552bc24123</t>
  </si>
  <si>
    <t>Timber products</t>
  </si>
  <si>
    <t>Cork</t>
  </si>
  <si>
    <t>Cork slab</t>
  </si>
  <si>
    <t>http://doi.org/10.26188/5da55336dce12</t>
  </si>
  <si>
    <t>Cork slab - 6 mm</t>
  </si>
  <si>
    <t>Cork slab - 10 mm</t>
  </si>
  <si>
    <t>Cork slab - 12 mm</t>
  </si>
  <si>
    <t>Cork slab - 20 mm</t>
  </si>
  <si>
    <t>Cork slab - 50 mm</t>
  </si>
  <si>
    <t>Hardwood</t>
  </si>
  <si>
    <t>http://doi.org/10.26188/5da554ea370a5</t>
  </si>
  <si>
    <t>Hardwood kiln-dried - dressed</t>
  </si>
  <si>
    <t>Hardwood kiln-dried - structural</t>
  </si>
  <si>
    <t>Manufactured timber product</t>
  </si>
  <si>
    <t>Cross laminated timber (CLT)</t>
  </si>
  <si>
    <t>http://doi.org/10.26188/5da55346af5dc</t>
  </si>
  <si>
    <t>CLT - 60 mm</t>
  </si>
  <si>
    <t>CLT - 105 mm</t>
  </si>
  <si>
    <t>CLT - 175 mm</t>
  </si>
  <si>
    <t>Glued laminated timber (glulam)</t>
  </si>
  <si>
    <t>http://doi.org/10.26188/5da554a55f5a5</t>
  </si>
  <si>
    <t>Glulam outdoor</t>
  </si>
  <si>
    <t>Laminated veneer lumber (LVL)</t>
  </si>
  <si>
    <t>http://doi.org/10.26188/5da55571d9d31</t>
  </si>
  <si>
    <t>MDF sheet</t>
  </si>
  <si>
    <t>http://doi.org/10.26188/5da555b3e3bf9</t>
  </si>
  <si>
    <t>Melamine-coated MDF board - 16 mm</t>
  </si>
  <si>
    <t>Melamine-coated MDF board - 18 mm</t>
  </si>
  <si>
    <t>Melamine-coated MDF board - 25 mm</t>
  </si>
  <si>
    <t>OSB sheet</t>
  </si>
  <si>
    <t>http://doi.org/10.26188/5da5561c22195</t>
  </si>
  <si>
    <t>Particleboard</t>
  </si>
  <si>
    <t>http://doi.org/10.26188/5da5562dbfbf9</t>
  </si>
  <si>
    <t>Particleboard outdoor</t>
  </si>
  <si>
    <t>Plywood</t>
  </si>
  <si>
    <t>http://doi.org/10.26188/5da556748c57f</t>
  </si>
  <si>
    <t>Plywood outdoor</t>
  </si>
  <si>
    <t>Structural insulated panel (SIP)</t>
  </si>
  <si>
    <t>http://doi.org/10.26188/5da5586fec593</t>
  </si>
  <si>
    <t>SIP - 142 mm</t>
  </si>
  <si>
    <t>SIP - 162 mm</t>
  </si>
  <si>
    <t>Softwood</t>
  </si>
  <si>
    <t>http://doi.org/10.26188/5da5578416cc9</t>
  </si>
  <si>
    <t>Softwood kiln-dried</t>
  </si>
  <si>
    <t>Total Embodied Energy (MJ)</t>
  </si>
  <si>
    <t>Total Embodied Water (L)</t>
  </si>
  <si>
    <t>Totals</t>
  </si>
  <si>
    <t>$-value of GHG emission</t>
  </si>
  <si>
    <t>Social Cost of Embodied Greenhouse Gas Emission ($AU)</t>
  </si>
  <si>
    <t>Allocations to individuals exiting prison</t>
  </si>
  <si>
    <t>Table</t>
  </si>
  <si>
    <t>0 CHILDREN (Studios and 1 bedroom)</t>
  </si>
  <si>
    <t>ONE CHILD (2 bedroom)</t>
  </si>
  <si>
    <t>TWO CHILDREN (3 bedroom)</t>
  </si>
  <si>
    <t>THREE CHILDREN (4 bedroom)</t>
  </si>
  <si>
    <t>FOUR+ CHILDREN (5 bedroom)</t>
  </si>
  <si>
    <t>Couple</t>
  </si>
  <si>
    <t>Studio 1-bed</t>
  </si>
  <si>
    <t>Available Special 1-bedroom housing</t>
  </si>
  <si>
    <t>ASVB (WV) temporary to social</t>
  </si>
  <si>
    <t>ASVB (WV) homelessness to social hse</t>
  </si>
  <si>
    <t>ASVB Overcrowding relief</t>
  </si>
  <si>
    <t>ASVB (WV) Completed Yr12</t>
  </si>
  <si>
    <t>ASVB (WV) Anxiety relief</t>
  </si>
  <si>
    <t>ASVB (WV) Overcrowding relief</t>
  </si>
  <si>
    <t>ASVB (WV) Parental stress</t>
  </si>
  <si>
    <t>Flatau et al homelessness to social hse, net/no program</t>
  </si>
  <si>
    <t>ASVB homlessness to social hse</t>
  </si>
  <si>
    <t>ASVB temporary to social</t>
  </si>
  <si>
    <t>Extensive green roofs</t>
  </si>
  <si>
    <t>Air quality from green roofs</t>
  </si>
  <si>
    <t>Extensive green roofs, sqm</t>
  </si>
  <si>
    <t>CZ</t>
  </si>
  <si>
    <t>Heat</t>
  </si>
  <si>
    <t>Cool</t>
  </si>
  <si>
    <t>Wood</t>
  </si>
  <si>
    <t>Gas</t>
  </si>
  <si>
    <t>Electricity</t>
  </si>
  <si>
    <t>Share Wood</t>
  </si>
  <si>
    <t>Share Gas</t>
  </si>
  <si>
    <t>Share Electricity</t>
  </si>
  <si>
    <t>Electricity ($ per kWh)</t>
  </si>
  <si>
    <t>Gas ($ per kWh)</t>
  </si>
  <si>
    <t>Wood ($ per kWh)</t>
  </si>
  <si>
    <t>Wood kg CO2-e per kWh</t>
  </si>
  <si>
    <t>Gas CO2 per kWh</t>
  </si>
  <si>
    <t>Electricity CO2-e per kWh</t>
  </si>
  <si>
    <t>Source: Australian Energy Statistics 2022 Table F; DISER</t>
  </si>
  <si>
    <t>Data derived mostly from canstar and comparethemarket</t>
  </si>
  <si>
    <t>Based on wood pellet prices in Melbourne
Energy content roughly on low end of pellets; 4 kWh per kg</t>
  </si>
  <si>
    <t>National Greenhouse Accounts Factors Table 1; Direct CO2 assumed 0 as assumed to be balanced against the regrowth of biomass</t>
  </si>
  <si>
    <t>National Greenhouse Accounts Factors Table 2 based on Natural gas distributed in a pipeline</t>
  </si>
  <si>
    <t>National Greenhouse Accounts Factors Tables 1-3 and Australian Energy Statistics Table O9; DISER</t>
  </si>
  <si>
    <t>CO2-e is the equivalent to CO2 for CO2, CH4 and N2O</t>
  </si>
  <si>
    <t>Note: Only direct emissions from burning</t>
  </si>
  <si>
    <t>Energy Data</t>
  </si>
  <si>
    <t>NATHERS</t>
  </si>
  <si>
    <t>National dwellings derived from Victoria and northern Tasmania existing dwellings</t>
  </si>
  <si>
    <t>Existing</t>
  </si>
  <si>
    <t>SEER</t>
  </si>
  <si>
    <t>Star</t>
  </si>
  <si>
    <t>Based on 3-star energy</t>
  </si>
  <si>
    <t>Heating (Electricity)</t>
  </si>
  <si>
    <t>Based on 3.5-star energy</t>
  </si>
  <si>
    <t>Air Conditioning - Australian Housing Data (csiro.au)</t>
  </si>
  <si>
    <t>Efficiency</t>
  </si>
  <si>
    <t>Heating (Gas)</t>
  </si>
  <si>
    <t>Assuming 3 star rating for gas space</t>
  </si>
  <si>
    <t>Heating (Wood/Pellet)</t>
  </si>
  <si>
    <t>Average of general efficiency of wood and pellet stoves</t>
  </si>
  <si>
    <t>Stars</t>
  </si>
  <si>
    <t>Heat Sources</t>
  </si>
  <si>
    <t>Sh Wood</t>
  </si>
  <si>
    <t>Sh Gas</t>
  </si>
  <si>
    <t>Sh Elec</t>
  </si>
  <si>
    <t>Base loading (annual kWh per m2)</t>
  </si>
  <si>
    <t>Heating</t>
  </si>
  <si>
    <t>Base Energy Requirements (annual kWh per m2)</t>
  </si>
  <si>
    <t>Wood Ht</t>
  </si>
  <si>
    <t>Gas Ht</t>
  </si>
  <si>
    <t>Elec Ht</t>
  </si>
  <si>
    <t>Elec Cool</t>
  </si>
  <si>
    <t>Base Energy Costs ($ per m2)</t>
  </si>
  <si>
    <t>Elec</t>
  </si>
  <si>
    <t>Base CO2-e (kg per m2)</t>
  </si>
  <si>
    <t>Energy Star Rating (Cooling)</t>
  </si>
  <si>
    <t>Energy Star Rating (Heating)</t>
  </si>
  <si>
    <t>Energy Savings</t>
  </si>
  <si>
    <t>$</t>
  </si>
  <si>
    <t>$ per kWh</t>
  </si>
  <si>
    <t>kWh (Thermal)</t>
  </si>
  <si>
    <t>Total ($ per m2)</t>
  </si>
  <si>
    <t>Base Cost ($ per m2)</t>
  </si>
  <si>
    <t>Affordable housing Cost ($ per m2)</t>
  </si>
  <si>
    <t>Heating (Defaults Nathers 7; ES 5)</t>
  </si>
  <si>
    <t>Cooling (Defaults Nathers 7; ES 5)</t>
  </si>
  <si>
    <t>Housing/Semi-detached</t>
  </si>
  <si>
    <t>Apartment</t>
  </si>
  <si>
    <t>Social housing Cost ($ per m2)</t>
  </si>
  <si>
    <t>Base kg CO2-e per m2</t>
  </si>
  <si>
    <t>kg CO2-e per m2</t>
  </si>
  <si>
    <t>Energy ratings affordable house/semi-detached/townhouses</t>
  </si>
  <si>
    <t>Energy ratings affordable apartment style</t>
  </si>
  <si>
    <t>Energy ratings social house/semi-detached/townhouses</t>
  </si>
  <si>
    <t>Energy ratings social apartment style</t>
  </si>
  <si>
    <t>CO2 emissinos</t>
  </si>
  <si>
    <t>Sqm</t>
  </si>
  <si>
    <t>Benefit</t>
  </si>
  <si>
    <t>Soc</t>
  </si>
  <si>
    <t>Total dwelling</t>
  </si>
  <si>
    <t>Total sqm</t>
  </si>
  <si>
    <t>Deduct non-traditionals</t>
  </si>
  <si>
    <t>CPI</t>
  </si>
  <si>
    <t>Average sqm</t>
  </si>
  <si>
    <t>Total household energy saving benefit</t>
  </si>
  <si>
    <t>Total CO2 emissions social value benefit</t>
  </si>
  <si>
    <t>Total  CO2 tons benefit</t>
  </si>
  <si>
    <t xml:space="preserve">kg CO2-e </t>
  </si>
  <si>
    <t>tons CO2-e</t>
  </si>
  <si>
    <t>Combined CO2 costs from 'Energy and Carbon' and 'Green Infrastructure' modules</t>
  </si>
  <si>
    <t>Combined CO2 tons benefit</t>
  </si>
  <si>
    <t>Combined 'cost of living' from 'Energy and Carbon', Green Infrastructure' and 'Social Infrastructure'</t>
  </si>
  <si>
    <t>Combined energy expenditure reduction</t>
  </si>
  <si>
    <t>Combined energy expenditure reduction ($)</t>
  </si>
  <si>
    <t>Nominal rental saving affordable dwellings</t>
  </si>
  <si>
    <t>Nominal rental saving social housing dwelling</t>
  </si>
  <si>
    <t>Number affordable</t>
  </si>
  <si>
    <t>Number social</t>
  </si>
  <si>
    <t>Total nominal rental saving</t>
  </si>
  <si>
    <t>Nominal rental reduction ($)</t>
  </si>
  <si>
    <t>NPV Energy expenditure ($)</t>
  </si>
  <si>
    <t>NPV Clean air benefit ($)</t>
  </si>
  <si>
    <t>Combined cost of living relief, nominal ($)</t>
  </si>
  <si>
    <t>HOUSING DEVELOPMENT DETAILS</t>
  </si>
  <si>
    <t>MARKET DETAILS</t>
  </si>
  <si>
    <t>ACCESS TO TRANSPORTATION OPTIONS</t>
  </si>
  <si>
    <t>Apartment style properties</t>
  </si>
  <si>
    <t>Willingness to pay</t>
  </si>
  <si>
    <t>PRE-DEVELOPMENT GREEN LANDSCAPING CHARACTERISTICS</t>
  </si>
  <si>
    <t>WILLINGNESS TO PAY</t>
  </si>
  <si>
    <t>Balcony/garden</t>
  </si>
  <si>
    <t>Large park</t>
  </si>
  <si>
    <t>Public transport</t>
  </si>
  <si>
    <t>Flats</t>
  </si>
  <si>
    <t>Active transport</t>
  </si>
  <si>
    <t>Number of dwellings</t>
  </si>
  <si>
    <t>One parent allocations</t>
  </si>
  <si>
    <t>Vacancy rate</t>
  </si>
  <si>
    <t>Turnover or vacancy</t>
  </si>
  <si>
    <t>Balcony, patio or garden</t>
  </si>
  <si>
    <t>In sqm</t>
  </si>
  <si>
    <t>Urban area</t>
  </si>
  <si>
    <t>Large park (houses)</t>
  </si>
  <si>
    <t>Access to public transport (houses)</t>
  </si>
  <si>
    <t>Balcony/private garden (flats)</t>
  </si>
  <si>
    <t>Medium parks (flats)</t>
  </si>
  <si>
    <t>Large park (flats)</t>
  </si>
  <si>
    <t>Access to active transport (flats)</t>
  </si>
  <si>
    <t>Access to public transport (flats)</t>
  </si>
  <si>
    <t>Inflation adjusted</t>
  </si>
  <si>
    <t>Affordable</t>
  </si>
  <si>
    <t>1 bed</t>
  </si>
  <si>
    <t>2 bed</t>
  </si>
  <si>
    <t>Appts</t>
  </si>
  <si>
    <t>Hse</t>
  </si>
  <si>
    <t>Total Affordable</t>
  </si>
  <si>
    <t>Total Social</t>
  </si>
  <si>
    <t>Some 17% of allocations went to those at risk of homelessness due to health/life danger at present accommodation.</t>
  </si>
  <si>
    <t>Health benefit - canopy cooling</t>
  </si>
  <si>
    <t>Health benefit - canopy air quality</t>
  </si>
  <si>
    <t>Domestic Violence (annual: health)</t>
  </si>
  <si>
    <t>Domestic violence (one off: disability adj life yrs)</t>
  </si>
  <si>
    <t>Difference in kg CO2-e per m2 compared to base</t>
  </si>
  <si>
    <t>Change in Total Compared to Base ($ per m2)</t>
  </si>
  <si>
    <t>*</t>
  </si>
  <si>
    <t>Properties for people with disability</t>
  </si>
  <si>
    <t>In good condition for people with disability</t>
  </si>
  <si>
    <t>ASVB in good condition for disability</t>
  </si>
  <si>
    <t>These are 2021 Census values</t>
  </si>
  <si>
    <t>SUA_NAME_2021</t>
  </si>
  <si>
    <t>Byron Bay</t>
  </si>
  <si>
    <t>Medowie</t>
  </si>
  <si>
    <t>Castlemaine</t>
  </si>
  <si>
    <t>Gisborne</t>
  </si>
  <si>
    <t>Mildura - Buronga</t>
  </si>
  <si>
    <t>Airlie Beach - Cannonvale</t>
  </si>
  <si>
    <t>Gladstone</t>
  </si>
  <si>
    <t>Burnie - Somerset</t>
  </si>
  <si>
    <t>Insignificant Region</t>
  </si>
  <si>
    <t>ASVB disability homlessness to social</t>
  </si>
  <si>
    <t>ASVB disability temporary to social</t>
  </si>
  <si>
    <t>Consumer price inflation</t>
  </si>
  <si>
    <t>ENVIRONMENTAL &amp; LOCAL AMENITY DETAILS</t>
  </si>
  <si>
    <t>MEMO ITEMS FOR CALCULATION</t>
  </si>
  <si>
    <t>RENTAL INFORMATION</t>
  </si>
  <si>
    <t>ACCESS TO GREEN LANDSCAPING OPTIONS</t>
  </si>
  <si>
    <t>Green space - open and canopied (total sqm)</t>
  </si>
  <si>
    <t xml:space="preserve"> ---Canopy covered green space, sqm</t>
  </si>
  <si>
    <t>POST-DEVELOPMENT LANDSCAPE CHARACTERISTICS</t>
  </si>
  <si>
    <t>Type of landscaping</t>
  </si>
  <si>
    <t>All properties combined</t>
  </si>
  <si>
    <t>Approximate number of people within 1-400 meters of green space</t>
  </si>
  <si>
    <t>Number of properties within 1-400 meters of NEW green space/landscaping</t>
  </si>
  <si>
    <t>NPV Combined cost of living relief, nominal ($)</t>
  </si>
  <si>
    <t>Average per dwell, per annum (40)</t>
  </si>
  <si>
    <t>Average per annum (40)</t>
  </si>
  <si>
    <t>Total over 40 years</t>
  </si>
  <si>
    <t>MONETISED BENEFITS HOUSING DEVELOPMENT INPUTS</t>
  </si>
  <si>
    <t>MONETISED BENEFITS ENVIRONMENTAL AND LOCAL AMENITIES INPUTS</t>
  </si>
  <si>
    <t>Total public benefit ($)</t>
  </si>
  <si>
    <t>Total private benefit ($)</t>
  </si>
  <si>
    <t>NPV Total public benefit ($)</t>
  </si>
  <si>
    <t>NPV Total private benefit ($)</t>
  </si>
  <si>
    <t>COMBINED COST OF LIVING RELIEF, NOMINAL ($)</t>
  </si>
  <si>
    <t>Total environmental and local amenity inputs ($)</t>
  </si>
  <si>
    <t>Air quality from tree canopy</t>
  </si>
  <si>
    <t>SPECIALISED TENANT SERVICES (CHOICE-BASED CHARACTERISTICS)</t>
  </si>
  <si>
    <t>DEVELOPMENT DESIGN (PROBABILISTIC-BASED CHARACTERISTICS)</t>
  </si>
  <si>
    <t>3. A carbon footprint module that aims to provide estimates of embodied CO2 footprint from new construction and GHG and tenant financial benefits from better building standards. The current version contains the beta-version of this component.</t>
  </si>
  <si>
    <t xml:space="preserve">2. An environmental and local amenities component that estimates access to transport and local amenities, CO2 sequestration, monetary equivalents of greenhouse gas reduction, health and tenant financial benefits from the provision of green infrastructure components. </t>
  </si>
  <si>
    <t xml:space="preserve">    The current version contains the beta-version of this component.</t>
  </si>
  <si>
    <t>Homeless and specialised tenant allocations SH</t>
  </si>
  <si>
    <t>Homeless and specialised tenant allocations AF</t>
  </si>
  <si>
    <t>Sum rental benefit social housing</t>
  </si>
  <si>
    <t>Sum rental benefit affordable housing</t>
  </si>
  <si>
    <t xml:space="preserve"> --- Canopy coverage of large green spaces, sqm</t>
  </si>
  <si>
    <t>Social Housing</t>
  </si>
  <si>
    <t>Homeless: long-term (12+ months), rough sleep</t>
  </si>
  <si>
    <t>Homeless: other (disability)</t>
  </si>
  <si>
    <t>Homeless: other</t>
  </si>
  <si>
    <t>Homeless: presenting with Domestic Violence</t>
  </si>
  <si>
    <t>Homeless: long-term (12+ months), rough sleep (dis.)</t>
  </si>
  <si>
    <t>EU ETS Carbon Price in EUR</t>
  </si>
  <si>
    <t>Four growth phases assumed</t>
  </si>
  <si>
    <t>Growth phases</t>
  </si>
  <si>
    <t>(Year1-5=0.25, Year 6-10=0.5; Year 11-20=0.75; Year 20+=1.0)</t>
  </si>
  <si>
    <t>Other open green space such as flower beds or grassed areas (not canopied), sqm</t>
  </si>
  <si>
    <t>tons CO2-e per 10%, per household</t>
  </si>
  <si>
    <t>From carbon price</t>
  </si>
  <si>
    <t>Magajouls</t>
  </si>
  <si>
    <t>Litres</t>
  </si>
  <si>
    <t>Tons</t>
  </si>
  <si>
    <t>Carbon sequestration balance over 40 years (green sequestration)</t>
  </si>
  <si>
    <t>Years to net zero carbon balance (green sequestration)</t>
  </si>
  <si>
    <t>GHG social cost balance over 40 years (green sequestration)</t>
  </si>
  <si>
    <t>Years to net zero GHG social cost (green sequestration)</t>
  </si>
  <si>
    <t>Years to net zero carbon balance (total abatement)</t>
  </si>
  <si>
    <t>Years to net zero GHG social cost (total abatement)</t>
  </si>
  <si>
    <t>Nominal</t>
  </si>
  <si>
    <t>Real</t>
  </si>
  <si>
    <t>tons</t>
  </si>
  <si>
    <t>Energy and GHG sequestration CO2 abatement, per dwelling, per year</t>
  </si>
  <si>
    <t>Energy and GHG sequestration CO2 abatement, per year</t>
  </si>
  <si>
    <t>Energy and GHG sequestration CO2 abatemenet, 40 years</t>
  </si>
  <si>
    <t>Health benefit from green infrastructure cooling ($)</t>
  </si>
  <si>
    <t>GHG sequestration social value ($)</t>
  </si>
  <si>
    <t>NPV GHG sequestration ($)</t>
  </si>
  <si>
    <t>SIGMAH (Social Infrastructure and Green Measures for Affordable Housing) aims to provide social and affordable housing developers</t>
  </si>
  <si>
    <t>are currently adjustable. Enter relevant information about housing, tenants, amenities, green space and building materials in these.</t>
  </si>
  <si>
    <t>PEACH</t>
  </si>
  <si>
    <t xml:space="preserve">will appear, dissapear or contain notifications and information depending on other settings in the calculator. </t>
  </si>
  <si>
    <t>Total social housing dwellings</t>
  </si>
  <si>
    <t>Total affordable dwellings</t>
  </si>
  <si>
    <t>Rent index</t>
  </si>
  <si>
    <t>Wrap-around provided homeless (long-term)</t>
  </si>
  <si>
    <t>Wrap-around provided homeless (other)</t>
  </si>
  <si>
    <t>SIGMAH was funded by:</t>
  </si>
  <si>
    <t>Clean air benefit from green infrastructure ($)</t>
  </si>
  <si>
    <t>NPV Total environmental and energy benefit ($)</t>
  </si>
  <si>
    <t>Based on CPI: https://www.abs.gov.au/statistics/economy/price-indexes-and-inflation/consumer-price-index-australia/jun-quarter-2023</t>
  </si>
  <si>
    <t>Based on rent component of CPI: https://www.abs.gov.au/statistics/economy/price-indexes-and-inflation/consumer-price-index-australia/jun-quarter-2023</t>
  </si>
  <si>
    <t>Test for property count</t>
  </si>
  <si>
    <t>Note: Bottom Quantile rents were based on 2-bedroom houses and flats as found within the March 2022 quarter REIA Real Estate Market Facts</t>
  </si>
  <si>
    <t>Base Price</t>
  </si>
  <si>
    <t>Source: NewNathers 9May2023.xlsx</t>
  </si>
  <si>
    <t>Deprecated</t>
  </si>
  <si>
    <t>Errors in this case would be good rather than just being plugged in as a default 0</t>
  </si>
  <si>
    <t>Note: Leaving above in here as text to double check that it wasn't used.</t>
  </si>
  <si>
    <t>No longer needed as special allocations will be across all bedrooms</t>
  </si>
  <si>
    <t>GHG reduction, sequestration+cooling ($)</t>
  </si>
  <si>
    <t>CO2 reduction (tons) cooling</t>
  </si>
  <si>
    <t>CO2 sequestration (social value $)</t>
  </si>
  <si>
    <t>CO2 reduction (social value $) cooling</t>
  </si>
  <si>
    <t>GHG sequestration (CO2) benefit (tons)</t>
  </si>
  <si>
    <t>GHG reduction from green infrastructure cooling (CO2 tons)</t>
  </si>
  <si>
    <t>Combined housing development, environmental and local amenity inputs ($)</t>
  </si>
  <si>
    <t>NPV combined housing development, envionrmental and local amenity inputs ($)</t>
  </si>
  <si>
    <t>Total Embodied Greenhouse Gas Emission (tons CO₂e)</t>
  </si>
  <si>
    <t>Green infrastructure and urban cooling</t>
  </si>
  <si>
    <t>Green infrastructure GHG sequestration &amp; health from canopy cover</t>
  </si>
  <si>
    <t>Combined CO2 abatement and health from canopy cover and urban cooling</t>
  </si>
  <si>
    <t>NPV Urban cooling health benefit ($)</t>
  </si>
  <si>
    <t>GHG reduction from green infrastructure cooling ($)</t>
  </si>
  <si>
    <t xml:space="preserve">GHG reduction from green infrastructure cooling and sequestration (CO2 tons) </t>
  </si>
  <si>
    <t xml:space="preserve">GHG reduction from green infrastructure cooling and sequestration ($) </t>
  </si>
  <si>
    <t>Health and clean air benefits ($)</t>
  </si>
  <si>
    <t>NPV GHG reduction from green infrastructure cooling and sequestration ($)</t>
  </si>
  <si>
    <t>NET PRESENT VALUE canopy cover &amp; GHG sequestration</t>
  </si>
  <si>
    <t>NET PRESENT VALUE GHG sequestration, cooling and health</t>
  </si>
  <si>
    <t>Combined CO2 emissions social value ($)</t>
  </si>
  <si>
    <t>Privte</t>
  </si>
  <si>
    <t>non-use value</t>
  </si>
  <si>
    <t>Existing rents therefore assumed to monetises some of the balcony value.</t>
  </si>
  <si>
    <t>WTP applied to initial year, then new entrants only. In NSW all new apartments must have balconie since 2014. Other states have similar guidance.</t>
  </si>
  <si>
    <r>
      <t xml:space="preserve">Sum WTP  </t>
    </r>
    <r>
      <rPr>
        <i/>
        <sz val="11"/>
        <color rgb="FFFF0000"/>
        <rFont val="Calibri"/>
        <family val="2"/>
        <scheme val="minor"/>
      </rPr>
      <t>(since social housing tenants pay as a fraction of income, counted always)</t>
    </r>
  </si>
  <si>
    <r>
      <t xml:space="preserve">Sum WTP  </t>
    </r>
    <r>
      <rPr>
        <i/>
        <sz val="11"/>
        <color rgb="FFFF0000"/>
        <rFont val="Calibri"/>
        <family val="2"/>
        <scheme val="minor"/>
      </rPr>
      <t>(combines social and affordable results) summed under wellbeing (not this page)</t>
    </r>
  </si>
  <si>
    <t>Number of houses with access to train, tram or light rail within 800 meters</t>
  </si>
  <si>
    <t>Number of apartment properties with access to active transport options within 400 meters</t>
  </si>
  <si>
    <t>Number of apartment properties with access to train, tram or light rail within 800 meters</t>
  </si>
  <si>
    <t>Number of houses with access to large park within within 400 meters (5 min walk)</t>
  </si>
  <si>
    <t>Number of apartments with access to medium size park within within 200 meters (2-3 min walk)</t>
  </si>
  <si>
    <t>Number of apartments with access to large size park within within 400 meters (5 min walk)</t>
  </si>
  <si>
    <t>Number of balconies</t>
  </si>
  <si>
    <t>Total private benefit, WTP + wellbeing($)</t>
  </si>
  <si>
    <t>Total housing development benefits ($)</t>
  </si>
  <si>
    <t>NPV Total private benefit, WTP + wellbeing ($)</t>
  </si>
  <si>
    <t>NPV Total housing development benefits ($)</t>
  </si>
  <si>
    <t>financial year basis</t>
  </si>
  <si>
    <t>Share of HH composition</t>
  </si>
  <si>
    <t>Share of studio</t>
  </si>
  <si>
    <t>Version 1.1 (February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</si>
</sst>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5" formatCode="&quot;$&quot;#,##0;\-&quot;$&quot;#,##0"/>
    <numFmt numFmtId="6" formatCode="&quot;$&quot;#,##0;[Red]\-&quot;$&quot;#,##0"/>
    <numFmt numFmtId="7" formatCode="&quot;$&quot;#,##0.00;\-&quot;$&quot;#,##0.00"/>
    <numFmt numFmtId="44" formatCode="_-&quot;$&quot;* #,##0.00_-;\-&quot;$&quot;* #,##0.00_-;_-&quot;$&quot;* &quot;-&quot;??_-;_-@_-"/>
    <numFmt numFmtId="43" formatCode="_-* #,##0.00_-;\-* #,##0.00_-;_-* &quot;-&quot;??_-;_-@_-"/>
    <numFmt numFmtId="164" formatCode="#,##0_);\(#,##0\);\-_)"/>
    <numFmt numFmtId="165" formatCode="_-&quot;$&quot;* #,##0_-;\-&quot;$&quot;* #,##0_-;_-&quot;$&quot;* &quot;-&quot;??_-;_-@_-"/>
    <numFmt numFmtId="166" formatCode="0.0%"/>
    <numFmt numFmtId="167" formatCode="0.0"/>
    <numFmt numFmtId="168" formatCode="#,##0_ ;\-#,##0\ "/>
    <numFmt numFmtId="169" formatCode="#,##0.00_ ;\-#,##0.00\ "/>
    <numFmt numFmtId="170" formatCode="_-* #,##0_-;\-* #,##0_-;_-* &quot;-&quot;??_-;_-@_-"/>
    <numFmt numFmtId="171" formatCode="_-&quot;$&quot;* #,##0.0_-;\-&quot;$&quot;* #,##0.0_-;_-&quot;$&quot;* &quot;-&quot;??_-;_-@_-"/>
    <numFmt numFmtId="172" formatCode="0.0000"/>
    <numFmt numFmtId="173" formatCode="#,##0.0000_ ;\-#,##0.0000\ "/>
    <numFmt numFmtId="174" formatCode="[$€-2]\ #,##0.00"/>
    <numFmt numFmtId="175" formatCode="0.00000"/>
    <numFmt numFmtId="176" formatCode="0.000"/>
  </numFmts>
  <fonts count="50" x14ac:knownFonts="1">
    <font>
      <sz val="11"/>
      <color theme="1"/>
      <name val="Calibri"/>
      <family val="2"/>
      <scheme val="minor"/>
    </font>
    <font>
      <sz val="11"/>
      <color rgb="FFFF0000"/>
      <name val="Calibri"/>
      <family val="2"/>
      <scheme val="minor"/>
    </font>
    <font>
      <b/>
      <sz val="11"/>
      <color theme="1"/>
      <name val="Calibri"/>
      <family val="2"/>
      <scheme val="minor"/>
    </font>
    <font>
      <sz val="9"/>
      <color indexed="81"/>
      <name val="Tahoma"/>
      <family val="2"/>
    </font>
    <font>
      <b/>
      <sz val="9"/>
      <color indexed="81"/>
      <name val="Tahoma"/>
      <family val="2"/>
    </font>
    <font>
      <sz val="11"/>
      <color theme="1"/>
      <name val="Calibri"/>
      <family val="2"/>
      <scheme val="minor"/>
    </font>
    <font>
      <b/>
      <sz val="10"/>
      <color theme="0"/>
      <name val="Calibri"/>
      <family val="2"/>
      <scheme val="minor"/>
    </font>
    <font>
      <sz val="10"/>
      <color theme="1"/>
      <name val="Calibri"/>
      <family val="2"/>
      <scheme val="minor"/>
    </font>
    <font>
      <sz val="10"/>
      <name val="Calibri"/>
      <family val="2"/>
      <scheme val="minor"/>
    </font>
    <font>
      <sz val="11"/>
      <color rgb="FFC00000"/>
      <name val="Calibri"/>
      <family val="2"/>
      <scheme val="minor"/>
    </font>
    <font>
      <strike/>
      <sz val="11"/>
      <color rgb="FFFF0000"/>
      <name val="Calibri"/>
      <family val="2"/>
      <scheme val="minor"/>
    </font>
    <font>
      <b/>
      <sz val="11"/>
      <color rgb="FFFF0000"/>
      <name val="Calibri"/>
      <family val="2"/>
      <scheme val="minor"/>
    </font>
    <font>
      <b/>
      <sz val="11"/>
      <name val="Calibri"/>
      <family val="2"/>
      <scheme val="minor"/>
    </font>
    <font>
      <sz val="11"/>
      <color theme="9" tint="-0.499984740745262"/>
      <name val="Calibri"/>
      <family val="2"/>
      <scheme val="minor"/>
    </font>
    <font>
      <b/>
      <sz val="16"/>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sz val="10"/>
      <color rgb="FFFF0000"/>
      <name val="Calibri"/>
      <family val="2"/>
      <scheme val="minor"/>
    </font>
    <font>
      <b/>
      <sz val="11"/>
      <color theme="0"/>
      <name val="Calibri"/>
      <family val="2"/>
      <scheme val="minor"/>
    </font>
    <font>
      <sz val="11"/>
      <color theme="0"/>
      <name val="Calibri"/>
      <family val="2"/>
      <scheme val="minor"/>
    </font>
    <font>
      <i/>
      <sz val="11"/>
      <color theme="1"/>
      <name val="Calibri"/>
      <family val="2"/>
      <scheme val="minor"/>
    </font>
    <font>
      <sz val="12"/>
      <color rgb="FFC00000"/>
      <name val="Calibri"/>
      <family val="2"/>
      <scheme val="minor"/>
    </font>
    <font>
      <sz val="11"/>
      <color rgb="FF000000"/>
      <name val="Calibri"/>
      <family val="2"/>
      <scheme val="minor"/>
    </font>
    <font>
      <sz val="10"/>
      <name val="Arial"/>
      <family val="2"/>
    </font>
    <font>
      <sz val="10"/>
      <color theme="1"/>
      <name val="Arial"/>
      <family val="2"/>
    </font>
    <font>
      <b/>
      <sz val="10"/>
      <name val="Arial"/>
      <family val="2"/>
    </font>
    <font>
      <b/>
      <sz val="11"/>
      <color rgb="FFE77052"/>
      <name val="Arial"/>
      <family val="2"/>
    </font>
    <font>
      <b/>
      <sz val="11"/>
      <color rgb="FF3FA7C2"/>
      <name val="Arial"/>
      <family val="2"/>
    </font>
    <font>
      <b/>
      <sz val="11"/>
      <color rgb="FFECAE65"/>
      <name val="Arial"/>
      <family val="2"/>
    </font>
    <font>
      <u/>
      <sz val="11"/>
      <color theme="10"/>
      <name val="Calibri"/>
      <family val="2"/>
      <scheme val="minor"/>
    </font>
    <font>
      <sz val="10"/>
      <color rgb="FF000000"/>
      <name val="Arial"/>
      <family val="2"/>
    </font>
    <font>
      <u/>
      <sz val="10"/>
      <color theme="10"/>
      <name val="Arial"/>
      <family val="2"/>
    </font>
    <font>
      <sz val="11"/>
      <color theme="1"/>
      <name val="Arial"/>
      <family val="2"/>
    </font>
    <font>
      <b/>
      <sz val="10"/>
      <color theme="1"/>
      <name val="Arial"/>
      <family val="2"/>
    </font>
    <font>
      <b/>
      <sz val="12"/>
      <color rgb="FFFF0000"/>
      <name val="Calibri"/>
      <family val="2"/>
      <scheme val="minor"/>
    </font>
    <font>
      <strike/>
      <sz val="10"/>
      <color rgb="FF000000"/>
      <name val="Arial"/>
      <family val="2"/>
    </font>
    <font>
      <b/>
      <strike/>
      <sz val="11"/>
      <color rgb="FFE77052"/>
      <name val="Arial"/>
      <family val="2"/>
    </font>
    <font>
      <b/>
      <strike/>
      <sz val="11"/>
      <color rgb="FF3FA7C2"/>
      <name val="Arial"/>
      <family val="2"/>
    </font>
    <font>
      <b/>
      <strike/>
      <sz val="11"/>
      <color rgb="FFECAE65"/>
      <name val="Arial"/>
      <family val="2"/>
    </font>
    <font>
      <i/>
      <sz val="11"/>
      <color rgb="FFFF0000"/>
      <name val="Calibri"/>
      <family val="2"/>
      <scheme val="minor"/>
    </font>
    <font>
      <strike/>
      <sz val="11"/>
      <color theme="1"/>
      <name val="Calibri"/>
      <family val="2"/>
      <scheme val="minor"/>
    </font>
    <font>
      <b/>
      <sz val="9"/>
      <color rgb="FF000000"/>
      <name val="Tahoma"/>
      <family val="2"/>
    </font>
    <font>
      <sz val="9"/>
      <color rgb="FF000000"/>
      <name val="Tahoma"/>
      <family val="2"/>
    </font>
    <font>
      <b/>
      <sz val="16"/>
      <color rgb="FF00B0F0"/>
      <name val="Calibri"/>
      <family val="2"/>
      <scheme val="minor"/>
    </font>
    <font>
      <b/>
      <sz val="16"/>
      <color rgb="FF00BAFC"/>
      <name val="Calibri"/>
      <family val="2"/>
      <scheme val="minor"/>
    </font>
    <font>
      <b/>
      <i/>
      <u/>
      <sz val="12"/>
      <name val="Calibri"/>
      <family val="2"/>
      <scheme val="minor"/>
    </font>
    <font>
      <u/>
      <sz val="11"/>
      <color theme="1"/>
      <name val="Calibri"/>
      <family val="2"/>
      <scheme val="minor"/>
    </font>
  </fonts>
  <fills count="32">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249977111117893"/>
        <bgColor indexed="64"/>
      </patternFill>
    </fill>
    <fill>
      <patternFill patternType="solid">
        <fgColor theme="0"/>
        <bgColor indexed="64"/>
      </patternFill>
    </fill>
    <fill>
      <patternFill patternType="solid">
        <fgColor theme="4" tint="-0.249977111117893"/>
        <bgColor indexed="64"/>
      </patternFill>
    </fill>
    <fill>
      <patternFill patternType="solid">
        <fgColor theme="1"/>
        <bgColor indexed="64"/>
      </patternFill>
    </fill>
    <fill>
      <patternFill patternType="solid">
        <fgColor theme="1" tint="4.9989318521683403E-2"/>
        <bgColor indexed="64"/>
      </patternFill>
    </fill>
    <fill>
      <patternFill patternType="solid">
        <fgColor theme="7" tint="0.39997558519241921"/>
        <bgColor indexed="64"/>
      </patternFill>
    </fill>
    <fill>
      <patternFill patternType="solid">
        <fgColor theme="4" tint="0.79998168889431442"/>
        <bgColor indexed="65"/>
      </patternFill>
    </fill>
    <fill>
      <patternFill patternType="solid">
        <fgColor theme="2"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theme="8" tint="0.59999389629810485"/>
        <bgColor indexed="64"/>
      </patternFill>
    </fill>
    <fill>
      <patternFill patternType="solid">
        <fgColor rgb="FF7030A0"/>
        <bgColor indexed="64"/>
      </patternFill>
    </fill>
    <fill>
      <patternFill patternType="solid">
        <fgColor rgb="FFC5ECFA"/>
        <bgColor indexed="64"/>
      </patternFill>
    </fill>
    <fill>
      <patternFill patternType="solid">
        <fgColor rgb="FF01FF8F"/>
        <bgColor indexed="64"/>
      </patternFill>
    </fill>
    <fill>
      <patternFill patternType="solid">
        <fgColor rgb="FFAAFFCC"/>
        <bgColor indexed="64"/>
      </patternFill>
    </fill>
    <fill>
      <patternFill patternType="solid">
        <fgColor rgb="FFFFDA9E"/>
        <bgColor indexed="64"/>
      </patternFill>
    </fill>
    <fill>
      <patternFill patternType="solid">
        <fgColor rgb="FFFEE5C8"/>
        <bgColor indexed="64"/>
      </patternFill>
    </fill>
    <fill>
      <patternFill patternType="solid">
        <fgColor rgb="FF00AEEE"/>
        <bgColor indexed="64"/>
      </patternFill>
    </fill>
    <fill>
      <patternFill patternType="solid">
        <fgColor rgb="FFB9EDFF"/>
        <bgColor indexed="64"/>
      </patternFill>
    </fill>
    <fill>
      <patternFill patternType="solid">
        <fgColor theme="5"/>
        <bgColor indexed="64"/>
      </patternFill>
    </fill>
  </fills>
  <borders count="81">
    <border>
      <left/>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right/>
      <top/>
      <bottom style="thin">
        <color theme="0" tint="-0.499984740745262"/>
      </bottom>
      <diagonal/>
    </border>
    <border>
      <left style="medium">
        <color theme="9" tint="-0.249977111117893"/>
      </left>
      <right style="thin">
        <color theme="0" tint="-0.499984740745262"/>
      </right>
      <top/>
      <bottom style="medium">
        <color theme="9" tint="-0.249977111117893"/>
      </bottom>
      <diagonal/>
    </border>
    <border>
      <left style="thin">
        <color theme="0" tint="-0.499984740745262"/>
      </left>
      <right style="thin">
        <color theme="0" tint="-0.499984740745262"/>
      </right>
      <top/>
      <bottom style="medium">
        <color theme="9" tint="-0.249977111117893"/>
      </bottom>
      <diagonal/>
    </border>
    <border>
      <left style="medium">
        <color theme="4" tint="-0.249977111117893"/>
      </left>
      <right/>
      <top style="medium">
        <color theme="4" tint="-0.249977111117893"/>
      </top>
      <bottom/>
      <diagonal/>
    </border>
    <border>
      <left/>
      <right/>
      <top style="medium">
        <color theme="4" tint="-0.249977111117893"/>
      </top>
      <bottom/>
      <diagonal/>
    </border>
    <border>
      <left/>
      <right style="medium">
        <color theme="4" tint="-0.249977111117893"/>
      </right>
      <top style="medium">
        <color theme="4" tint="-0.249977111117893"/>
      </top>
      <bottom/>
      <diagonal/>
    </border>
    <border>
      <left style="medium">
        <color theme="4" tint="-0.249977111117893"/>
      </left>
      <right/>
      <top/>
      <bottom/>
      <diagonal/>
    </border>
    <border>
      <left/>
      <right style="thin">
        <color theme="0" tint="-0.499984740745262"/>
      </right>
      <top/>
      <bottom/>
      <diagonal/>
    </border>
    <border>
      <left/>
      <right style="medium">
        <color theme="4" tint="-0.249977111117893"/>
      </right>
      <top/>
      <bottom style="thin">
        <color theme="0" tint="-0.499984740745262"/>
      </bottom>
      <diagonal/>
    </border>
    <border>
      <left style="medium">
        <color theme="4" tint="-0.249977111117893"/>
      </left>
      <right/>
      <top/>
      <bottom style="medium">
        <color theme="4" tint="-0.249977111117893"/>
      </bottom>
      <diagonal/>
    </border>
    <border>
      <left/>
      <right style="thin">
        <color theme="0" tint="-0.499984740745262"/>
      </right>
      <top/>
      <bottom style="medium">
        <color theme="4" tint="-0.249977111117893"/>
      </bottom>
      <diagonal/>
    </border>
    <border>
      <left/>
      <right style="thin">
        <color theme="4" tint="-0.249977111117893"/>
      </right>
      <top/>
      <bottom/>
      <diagonal/>
    </border>
    <border>
      <left style="thin">
        <color theme="4" tint="-0.249977111117893"/>
      </left>
      <right style="medium">
        <color theme="4" tint="-0.249977111117893"/>
      </right>
      <top/>
      <bottom/>
      <diagonal/>
    </border>
    <border>
      <left style="thin">
        <color theme="4" tint="-0.249977111117893"/>
      </left>
      <right style="medium">
        <color theme="4" tint="-0.249977111117893"/>
      </right>
      <top style="thin">
        <color theme="0" tint="-0.499984740745262"/>
      </top>
      <bottom style="thin">
        <color theme="0" tint="-0.499984740745262"/>
      </bottom>
      <diagonal/>
    </border>
    <border>
      <left style="thin">
        <color indexed="64"/>
      </left>
      <right style="medium">
        <color theme="9" tint="-0.249977111117893"/>
      </right>
      <top style="thin">
        <color indexed="64"/>
      </top>
      <bottom style="thin">
        <color indexed="64"/>
      </bottom>
      <diagonal/>
    </border>
    <border>
      <left/>
      <right style="medium">
        <color theme="9" tint="-0.249977111117893"/>
      </right>
      <top/>
      <bottom style="thin">
        <color theme="0" tint="-0.499984740745262"/>
      </bottom>
      <diagonal/>
    </border>
    <border>
      <left style="thin">
        <color theme="0" tint="-0.499984740745262"/>
      </left>
      <right style="medium">
        <color theme="9" tint="-0.249977111117893"/>
      </right>
      <top/>
      <bottom style="medium">
        <color theme="9" tint="-0.249977111117893"/>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style="medium">
        <color theme="9" tint="-0.24994659260841701"/>
      </left>
      <right style="medium">
        <color theme="9" tint="-0.24994659260841701"/>
      </right>
      <top/>
      <bottom/>
      <diagonal/>
    </border>
    <border>
      <left style="medium">
        <color theme="9" tint="-0.24994659260841701"/>
      </left>
      <right style="medium">
        <color theme="9" tint="-0.24994659260841701"/>
      </right>
      <top/>
      <bottom style="medium">
        <color theme="9" tint="-0.2499465926084170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5"/>
      </left>
      <right/>
      <top style="medium">
        <color theme="5"/>
      </top>
      <bottom/>
      <diagonal/>
    </border>
    <border>
      <left/>
      <right/>
      <top style="medium">
        <color theme="5"/>
      </top>
      <bottom/>
      <diagonal/>
    </border>
    <border>
      <left/>
      <right style="medium">
        <color theme="5"/>
      </right>
      <top style="medium">
        <color theme="5"/>
      </top>
      <bottom/>
      <diagonal/>
    </border>
    <border>
      <left style="medium">
        <color theme="5"/>
      </left>
      <right/>
      <top/>
      <bottom/>
      <diagonal/>
    </border>
    <border>
      <left/>
      <right style="medium">
        <color theme="5"/>
      </right>
      <top/>
      <bottom/>
      <diagonal/>
    </border>
    <border>
      <left style="medium">
        <color theme="5"/>
      </left>
      <right/>
      <top/>
      <bottom style="medium">
        <color theme="5"/>
      </bottom>
      <diagonal/>
    </border>
    <border>
      <left/>
      <right/>
      <top/>
      <bottom style="medium">
        <color theme="5"/>
      </bottom>
      <diagonal/>
    </border>
    <border>
      <left/>
      <right style="medium">
        <color theme="5"/>
      </right>
      <top/>
      <bottom style="medium">
        <color theme="5"/>
      </bottom>
      <diagonal/>
    </border>
    <border>
      <left/>
      <right style="medium">
        <color theme="9" tint="-0.24994659260841701"/>
      </right>
      <top/>
      <bottom/>
      <diagonal/>
    </border>
    <border>
      <left style="medium">
        <color theme="9" tint="-0.24994659260841701"/>
      </left>
      <right style="medium">
        <color theme="9" tint="-0.24994659260841701"/>
      </right>
      <top style="medium">
        <color theme="9" tint="-0.24994659260841701"/>
      </top>
      <bottom/>
      <diagonal/>
    </border>
    <border>
      <left style="medium">
        <color theme="0" tint="-0.249977111117893"/>
      </left>
      <right/>
      <top style="medium">
        <color theme="0" tint="-0.249977111117893"/>
      </top>
      <bottom/>
      <diagonal/>
    </border>
    <border>
      <left/>
      <right/>
      <top style="medium">
        <color theme="0" tint="-0.249977111117893"/>
      </top>
      <bottom/>
      <diagonal/>
    </border>
    <border>
      <left/>
      <right style="medium">
        <color theme="0" tint="-0.249977111117893"/>
      </right>
      <top style="medium">
        <color theme="0" tint="-0.249977111117893"/>
      </top>
      <bottom/>
      <diagonal/>
    </border>
    <border>
      <left style="medium">
        <color theme="0" tint="-0.249977111117893"/>
      </left>
      <right/>
      <top/>
      <bottom/>
      <diagonal/>
    </border>
    <border>
      <left/>
      <right style="medium">
        <color theme="0" tint="-0.249977111117893"/>
      </right>
      <top/>
      <bottom/>
      <diagonal/>
    </border>
    <border>
      <left style="medium">
        <color theme="0" tint="-0.249977111117893"/>
      </left>
      <right/>
      <top/>
      <bottom style="medium">
        <color theme="0" tint="-0.249977111117893"/>
      </bottom>
      <diagonal/>
    </border>
    <border>
      <left/>
      <right/>
      <top/>
      <bottom style="medium">
        <color theme="0" tint="-0.249977111117893"/>
      </bottom>
      <diagonal/>
    </border>
    <border>
      <left/>
      <right style="medium">
        <color theme="0" tint="-0.249977111117893"/>
      </right>
      <top/>
      <bottom style="medium">
        <color theme="0" tint="-0.249977111117893"/>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7">
    <xf numFmtId="0" fontId="0" fillId="0" borderId="0"/>
    <xf numFmtId="44" fontId="5" fillId="0" borderId="0" applyFont="0" applyFill="0" applyBorder="0" applyAlignment="0" applyProtection="0"/>
    <xf numFmtId="0" fontId="5" fillId="13" borderId="0" applyNumberFormat="0" applyBorder="0" applyAlignment="0" applyProtection="0"/>
    <xf numFmtId="9" fontId="5" fillId="0" borderId="0" applyFont="0" applyFill="0" applyBorder="0" applyAlignment="0" applyProtection="0"/>
    <xf numFmtId="44" fontId="5" fillId="0" borderId="0" applyFont="0" applyFill="0" applyBorder="0" applyAlignment="0" applyProtection="0"/>
    <xf numFmtId="43" fontId="5" fillId="0" borderId="0" applyFont="0" applyFill="0" applyBorder="0" applyAlignment="0" applyProtection="0"/>
    <xf numFmtId="0" fontId="32" fillId="0" borderId="0" applyNumberFormat="0" applyFill="0" applyBorder="0" applyAlignment="0" applyProtection="0"/>
  </cellStyleXfs>
  <cellXfs count="630">
    <xf numFmtId="0" fontId="0" fillId="0" borderId="0" xfId="0"/>
    <xf numFmtId="0" fontId="0" fillId="3" borderId="0" xfId="0" applyFill="1"/>
    <xf numFmtId="0" fontId="0" fillId="2" borderId="0" xfId="0" applyFill="1"/>
    <xf numFmtId="0" fontId="2" fillId="4" borderId="0" xfId="0" applyFont="1" applyFill="1"/>
    <xf numFmtId="0" fontId="0" fillId="4" borderId="0" xfId="0" applyFill="1"/>
    <xf numFmtId="164" fontId="0" fillId="0" borderId="0" xfId="0" applyNumberFormat="1"/>
    <xf numFmtId="3" fontId="0" fillId="0" borderId="0" xfId="0" applyNumberFormat="1"/>
    <xf numFmtId="0" fontId="2" fillId="0" borderId="2" xfId="0" applyFont="1" applyBorder="1"/>
    <xf numFmtId="0" fontId="2" fillId="0" borderId="3" xfId="0" applyFont="1" applyBorder="1"/>
    <xf numFmtId="0" fontId="2" fillId="0" borderId="4" xfId="0" applyFont="1" applyBorder="1"/>
    <xf numFmtId="0" fontId="2" fillId="0" borderId="0" xfId="0" applyFont="1"/>
    <xf numFmtId="0" fontId="2" fillId="0" borderId="5" xfId="0" applyFont="1" applyBorder="1"/>
    <xf numFmtId="0" fontId="2" fillId="0" borderId="3" xfId="0" applyFont="1" applyBorder="1" applyAlignment="1">
      <alignment horizontal="right"/>
    </xf>
    <xf numFmtId="0" fontId="2" fillId="0" borderId="4" xfId="0" applyFont="1" applyBorder="1" applyAlignment="1">
      <alignment horizontal="right"/>
    </xf>
    <xf numFmtId="0" fontId="0" fillId="0" borderId="6" xfId="0" applyBorder="1"/>
    <xf numFmtId="0" fontId="0" fillId="0" borderId="7" xfId="0" applyBorder="1"/>
    <xf numFmtId="0" fontId="0" fillId="0" borderId="9" xfId="0" applyBorder="1"/>
    <xf numFmtId="0" fontId="0" fillId="0" borderId="10" xfId="0" applyBorder="1"/>
    <xf numFmtId="165" fontId="0" fillId="0" borderId="10" xfId="1" applyNumberFormat="1" applyFont="1" applyBorder="1"/>
    <xf numFmtId="2" fontId="0" fillId="0" borderId="10" xfId="0" applyNumberFormat="1" applyBorder="1"/>
    <xf numFmtId="1" fontId="0" fillId="0" borderId="10" xfId="0" applyNumberFormat="1" applyBorder="1"/>
    <xf numFmtId="9" fontId="0" fillId="0" borderId="11" xfId="0" applyNumberFormat="1" applyBorder="1"/>
    <xf numFmtId="9" fontId="0" fillId="0" borderId="0" xfId="0" applyNumberFormat="1"/>
    <xf numFmtId="165" fontId="0" fillId="0" borderId="10" xfId="0" applyNumberFormat="1" applyBorder="1"/>
    <xf numFmtId="0" fontId="0" fillId="0" borderId="13" xfId="0" applyBorder="1"/>
    <xf numFmtId="0" fontId="0" fillId="0" borderId="14" xfId="0" applyBorder="1"/>
    <xf numFmtId="165" fontId="0" fillId="0" borderId="14" xfId="1" applyNumberFormat="1" applyFont="1" applyBorder="1"/>
    <xf numFmtId="2" fontId="0" fillId="0" borderId="14" xfId="0" applyNumberFormat="1" applyBorder="1"/>
    <xf numFmtId="0" fontId="0" fillId="0" borderId="16" xfId="0" applyBorder="1"/>
    <xf numFmtId="9" fontId="0" fillId="0" borderId="14" xfId="0" applyNumberFormat="1" applyBorder="1"/>
    <xf numFmtId="0" fontId="0" fillId="0" borderId="15" xfId="0" applyBorder="1"/>
    <xf numFmtId="1" fontId="0" fillId="0" borderId="14" xfId="0" applyNumberFormat="1" applyBorder="1"/>
    <xf numFmtId="165" fontId="0" fillId="0" borderId="16" xfId="0" applyNumberFormat="1" applyBorder="1"/>
    <xf numFmtId="165" fontId="0" fillId="0" borderId="14" xfId="0" applyNumberFormat="1" applyBorder="1"/>
    <xf numFmtId="165" fontId="0" fillId="0" borderId="14" xfId="1" applyNumberFormat="1" applyFont="1" applyFill="1" applyBorder="1"/>
    <xf numFmtId="0" fontId="0" fillId="0" borderId="17" xfId="0" applyBorder="1"/>
    <xf numFmtId="0" fontId="0" fillId="0" borderId="18" xfId="0" applyBorder="1"/>
    <xf numFmtId="165" fontId="0" fillId="0" borderId="18" xfId="1" applyNumberFormat="1" applyFont="1" applyBorder="1"/>
    <xf numFmtId="2" fontId="0" fillId="0" borderId="18" xfId="0" applyNumberFormat="1" applyBorder="1"/>
    <xf numFmtId="1" fontId="0" fillId="0" borderId="18" xfId="0" applyNumberFormat="1" applyBorder="1"/>
    <xf numFmtId="165" fontId="0" fillId="0" borderId="18" xfId="0" applyNumberFormat="1" applyBorder="1"/>
    <xf numFmtId="0" fontId="2" fillId="4" borderId="2" xfId="0" applyFont="1" applyFill="1" applyBorder="1"/>
    <xf numFmtId="0" fontId="2" fillId="4" borderId="3" xfId="0" applyFont="1" applyFill="1" applyBorder="1"/>
    <xf numFmtId="165" fontId="2" fillId="4" borderId="3" xfId="1" applyNumberFormat="1" applyFont="1" applyFill="1" applyBorder="1"/>
    <xf numFmtId="2" fontId="2" fillId="4" borderId="3" xfId="0" applyNumberFormat="1" applyFont="1" applyFill="1" applyBorder="1"/>
    <xf numFmtId="1" fontId="2" fillId="4" borderId="3" xfId="0" applyNumberFormat="1" applyFont="1" applyFill="1" applyBorder="1"/>
    <xf numFmtId="0" fontId="2" fillId="4" borderId="4" xfId="0" applyFont="1" applyFill="1" applyBorder="1"/>
    <xf numFmtId="165" fontId="2" fillId="4" borderId="3" xfId="0" applyNumberFormat="1" applyFont="1" applyFill="1" applyBorder="1"/>
    <xf numFmtId="165" fontId="2" fillId="4" borderId="4" xfId="0" applyNumberFormat="1" applyFont="1" applyFill="1" applyBorder="1"/>
    <xf numFmtId="0" fontId="0" fillId="2" borderId="20" xfId="0" applyFill="1" applyBorder="1"/>
    <xf numFmtId="0" fontId="0" fillId="2" borderId="21" xfId="0" applyFill="1" applyBorder="1"/>
    <xf numFmtId="165" fontId="0" fillId="2" borderId="21" xfId="1" applyNumberFormat="1" applyFont="1" applyFill="1" applyBorder="1"/>
    <xf numFmtId="2" fontId="0" fillId="2" borderId="21" xfId="0" applyNumberFormat="1" applyFill="1" applyBorder="1"/>
    <xf numFmtId="1" fontId="0" fillId="2" borderId="21" xfId="0" applyNumberFormat="1" applyFill="1" applyBorder="1"/>
    <xf numFmtId="0" fontId="0" fillId="2" borderId="22" xfId="0" applyFill="1" applyBorder="1"/>
    <xf numFmtId="165" fontId="0" fillId="2" borderId="21" xfId="0" applyNumberFormat="1" applyFill="1" applyBorder="1"/>
    <xf numFmtId="165" fontId="0" fillId="2" borderId="22" xfId="0" applyNumberFormat="1" applyFill="1" applyBorder="1"/>
    <xf numFmtId="0" fontId="0" fillId="2" borderId="13" xfId="0" applyFill="1" applyBorder="1"/>
    <xf numFmtId="0" fontId="0" fillId="2" borderId="14" xfId="0" applyFill="1" applyBorder="1"/>
    <xf numFmtId="165" fontId="0" fillId="2" borderId="14" xfId="1" applyNumberFormat="1" applyFont="1" applyFill="1" applyBorder="1"/>
    <xf numFmtId="2" fontId="0" fillId="2" borderId="14" xfId="0" applyNumberFormat="1" applyFill="1" applyBorder="1"/>
    <xf numFmtId="1" fontId="0" fillId="2" borderId="14" xfId="0" applyNumberFormat="1" applyFill="1" applyBorder="1"/>
    <xf numFmtId="0" fontId="0" fillId="2" borderId="15" xfId="0" applyFill="1" applyBorder="1"/>
    <xf numFmtId="165" fontId="0" fillId="2" borderId="16" xfId="0" applyNumberFormat="1" applyFill="1" applyBorder="1"/>
    <xf numFmtId="165" fontId="0" fillId="2" borderId="14" xfId="0" applyNumberFormat="1" applyFill="1" applyBorder="1"/>
    <xf numFmtId="165" fontId="0" fillId="2" borderId="15" xfId="0" applyNumberFormat="1" applyFill="1" applyBorder="1"/>
    <xf numFmtId="0" fontId="0" fillId="0" borderId="24" xfId="0" applyBorder="1"/>
    <xf numFmtId="0" fontId="0" fillId="0" borderId="25" xfId="0" applyBorder="1"/>
    <xf numFmtId="165" fontId="0" fillId="0" borderId="25" xfId="1" applyNumberFormat="1" applyFont="1" applyBorder="1"/>
    <xf numFmtId="2" fontId="0" fillId="0" borderId="25" xfId="0" applyNumberFormat="1" applyBorder="1"/>
    <xf numFmtId="165" fontId="0" fillId="0" borderId="27" xfId="0" applyNumberFormat="1" applyBorder="1"/>
    <xf numFmtId="165" fontId="0" fillId="0" borderId="25" xfId="0" applyNumberFormat="1" applyBorder="1"/>
    <xf numFmtId="0" fontId="2" fillId="0" borderId="6" xfId="0" applyFont="1" applyBorder="1"/>
    <xf numFmtId="0" fontId="2" fillId="0" borderId="7" xfId="0" applyFont="1" applyBorder="1"/>
    <xf numFmtId="165" fontId="2" fillId="0" borderId="0" xfId="0" applyNumberFormat="1" applyFont="1"/>
    <xf numFmtId="0" fontId="0" fillId="2" borderId="6" xfId="0" applyFill="1" applyBorder="1"/>
    <xf numFmtId="0" fontId="0" fillId="2" borderId="7" xfId="0" applyFill="1" applyBorder="1"/>
    <xf numFmtId="165" fontId="0" fillId="0" borderId="0" xfId="0" applyNumberFormat="1"/>
    <xf numFmtId="44" fontId="0" fillId="0" borderId="0" xfId="0" applyNumberFormat="1"/>
    <xf numFmtId="0" fontId="0" fillId="0" borderId="11" xfId="0" applyBorder="1"/>
    <xf numFmtId="0" fontId="0" fillId="0" borderId="26" xfId="0" applyBorder="1"/>
    <xf numFmtId="0" fontId="0" fillId="5" borderId="5" xfId="0" applyFill="1" applyBorder="1"/>
    <xf numFmtId="0" fontId="0" fillId="0" borderId="5" xfId="0" applyBorder="1"/>
    <xf numFmtId="0" fontId="6" fillId="7" borderId="29" xfId="0" applyFont="1" applyFill="1" applyBorder="1"/>
    <xf numFmtId="0" fontId="6" fillId="7" borderId="30" xfId="0" applyFont="1" applyFill="1" applyBorder="1"/>
    <xf numFmtId="0" fontId="0" fillId="0" borderId="8" xfId="0" applyBorder="1"/>
    <xf numFmtId="0" fontId="7" fillId="4" borderId="31" xfId="0" applyFont="1" applyFill="1" applyBorder="1"/>
    <xf numFmtId="0" fontId="7" fillId="4" borderId="0" xfId="0" applyFont="1" applyFill="1"/>
    <xf numFmtId="0" fontId="7" fillId="8" borderId="31" xfId="0" applyFont="1" applyFill="1" applyBorder="1"/>
    <xf numFmtId="1" fontId="2" fillId="0" borderId="0" xfId="0" applyNumberFormat="1" applyFont="1"/>
    <xf numFmtId="0" fontId="7" fillId="4" borderId="33" xfId="0" applyFont="1" applyFill="1" applyBorder="1"/>
    <xf numFmtId="0" fontId="7" fillId="8" borderId="34" xfId="0" applyFont="1" applyFill="1" applyBorder="1"/>
    <xf numFmtId="165" fontId="7" fillId="5" borderId="35" xfId="0" applyNumberFormat="1" applyFont="1" applyFill="1" applyBorder="1" applyProtection="1">
      <protection locked="0"/>
    </xf>
    <xf numFmtId="0" fontId="6" fillId="9" borderId="36" xfId="0" applyFont="1" applyFill="1" applyBorder="1"/>
    <xf numFmtId="0" fontId="6" fillId="9" borderId="37" xfId="0" applyFont="1" applyFill="1" applyBorder="1"/>
    <xf numFmtId="0" fontId="6" fillId="9" borderId="38" xfId="0" applyFont="1" applyFill="1" applyBorder="1"/>
    <xf numFmtId="0" fontId="7" fillId="8" borderId="39" xfId="0" applyFont="1" applyFill="1" applyBorder="1"/>
    <xf numFmtId="0" fontId="7" fillId="8" borderId="40" xfId="0" applyFont="1" applyFill="1" applyBorder="1"/>
    <xf numFmtId="10" fontId="7" fillId="5" borderId="41" xfId="0" applyNumberFormat="1" applyFont="1" applyFill="1" applyBorder="1" applyProtection="1">
      <protection locked="0"/>
    </xf>
    <xf numFmtId="0" fontId="7" fillId="8" borderId="42" xfId="0" applyFont="1" applyFill="1" applyBorder="1"/>
    <xf numFmtId="0" fontId="7" fillId="8" borderId="43" xfId="0" applyFont="1" applyFill="1" applyBorder="1"/>
    <xf numFmtId="0" fontId="6" fillId="9" borderId="39" xfId="0" applyFont="1" applyFill="1" applyBorder="1"/>
    <xf numFmtId="0" fontId="6" fillId="9" borderId="44" xfId="0" applyFont="1" applyFill="1" applyBorder="1"/>
    <xf numFmtId="9" fontId="6" fillId="9" borderId="45" xfId="0" applyNumberFormat="1" applyFont="1" applyFill="1" applyBorder="1"/>
    <xf numFmtId="166" fontId="7" fillId="5" borderId="46" xfId="0" applyNumberFormat="1" applyFont="1" applyFill="1" applyBorder="1" applyProtection="1">
      <protection locked="0"/>
    </xf>
    <xf numFmtId="0" fontId="7" fillId="8" borderId="0" xfId="0" applyFont="1" applyFill="1"/>
    <xf numFmtId="10" fontId="0" fillId="0" borderId="0" xfId="0" applyNumberFormat="1"/>
    <xf numFmtId="1" fontId="0" fillId="0" borderId="0" xfId="0" applyNumberFormat="1"/>
    <xf numFmtId="0" fontId="0" fillId="10" borderId="5" xfId="0" applyFill="1" applyBorder="1"/>
    <xf numFmtId="0" fontId="0" fillId="11" borderId="5" xfId="0" applyFill="1" applyBorder="1"/>
    <xf numFmtId="0" fontId="0" fillId="2" borderId="5" xfId="0" applyFill="1" applyBorder="1"/>
    <xf numFmtId="0" fontId="2" fillId="2" borderId="5" xfId="0" applyFont="1" applyFill="1" applyBorder="1"/>
    <xf numFmtId="0" fontId="1" fillId="10" borderId="5" xfId="0" applyFont="1" applyFill="1" applyBorder="1"/>
    <xf numFmtId="2" fontId="0" fillId="2" borderId="5" xfId="0" applyNumberFormat="1" applyFill="1" applyBorder="1"/>
    <xf numFmtId="2" fontId="0" fillId="10" borderId="5" xfId="0" applyNumberFormat="1" applyFill="1" applyBorder="1"/>
    <xf numFmtId="167" fontId="2" fillId="2" borderId="5" xfId="0" applyNumberFormat="1" applyFont="1" applyFill="1" applyBorder="1"/>
    <xf numFmtId="1" fontId="9" fillId="0" borderId="10" xfId="0" applyNumberFormat="1" applyFont="1" applyBorder="1"/>
    <xf numFmtId="0" fontId="0" fillId="6" borderId="0" xfId="0" applyFill="1"/>
    <xf numFmtId="0" fontId="1" fillId="0" borderId="0" xfId="0" applyFont="1"/>
    <xf numFmtId="0" fontId="0" fillId="3" borderId="5" xfId="0" applyFill="1" applyBorder="1"/>
    <xf numFmtId="1" fontId="0" fillId="0" borderId="5" xfId="0" applyNumberFormat="1" applyBorder="1"/>
    <xf numFmtId="1" fontId="0" fillId="3" borderId="5" xfId="0" applyNumberFormat="1" applyFill="1" applyBorder="1"/>
    <xf numFmtId="1" fontId="0" fillId="10" borderId="5" xfId="0" applyNumberFormat="1" applyFill="1" applyBorder="1"/>
    <xf numFmtId="2" fontId="0" fillId="0" borderId="0" xfId="0" applyNumberFormat="1"/>
    <xf numFmtId="0" fontId="0" fillId="0" borderId="5" xfId="0" applyBorder="1" applyAlignment="1">
      <alignment wrapText="1"/>
    </xf>
    <xf numFmtId="9" fontId="9" fillId="0" borderId="0" xfId="0" applyNumberFormat="1" applyFont="1"/>
    <xf numFmtId="0" fontId="10" fillId="0" borderId="0" xfId="0" applyFont="1"/>
    <xf numFmtId="0" fontId="6" fillId="7" borderId="28" xfId="0" applyFont="1" applyFill="1" applyBorder="1" applyAlignment="1">
      <alignment wrapText="1"/>
    </xf>
    <xf numFmtId="0" fontId="7" fillId="0" borderId="0" xfId="0" applyFont="1"/>
    <xf numFmtId="0" fontId="8" fillId="0" borderId="0" xfId="0" applyFont="1"/>
    <xf numFmtId="165" fontId="8" fillId="0" borderId="0" xfId="0" applyNumberFormat="1" applyFont="1"/>
    <xf numFmtId="0" fontId="6" fillId="0" borderId="0" xfId="0" applyFont="1" applyAlignment="1">
      <alignment wrapText="1"/>
    </xf>
    <xf numFmtId="0" fontId="6" fillId="0" borderId="0" xfId="0" applyFont="1"/>
    <xf numFmtId="165" fontId="7" fillId="0" borderId="0" xfId="0" applyNumberFormat="1" applyFont="1" applyProtection="1">
      <protection locked="0"/>
    </xf>
    <xf numFmtId="165" fontId="7" fillId="5" borderId="0" xfId="0" applyNumberFormat="1" applyFont="1" applyFill="1" applyProtection="1">
      <protection locked="0"/>
    </xf>
    <xf numFmtId="0" fontId="7" fillId="4" borderId="32" xfId="0" applyFont="1" applyFill="1" applyBorder="1"/>
    <xf numFmtId="165" fontId="7" fillId="5" borderId="47" xfId="0" applyNumberFormat="1" applyFont="1" applyFill="1" applyBorder="1" applyProtection="1">
      <protection locked="0"/>
    </xf>
    <xf numFmtId="0" fontId="7" fillId="4" borderId="48" xfId="0" applyFont="1" applyFill="1" applyBorder="1"/>
    <xf numFmtId="165" fontId="7" fillId="5" borderId="49" xfId="0" applyNumberFormat="1" applyFont="1" applyFill="1" applyBorder="1" applyProtection="1">
      <protection locked="0"/>
    </xf>
    <xf numFmtId="0" fontId="2" fillId="10" borderId="5" xfId="0" applyFont="1" applyFill="1" applyBorder="1"/>
    <xf numFmtId="0" fontId="11" fillId="10" borderId="5" xfId="0" applyFont="1" applyFill="1" applyBorder="1"/>
    <xf numFmtId="0" fontId="2" fillId="3" borderId="5" xfId="0" applyFont="1" applyFill="1" applyBorder="1"/>
    <xf numFmtId="6" fontId="2" fillId="0" borderId="0" xfId="0" applyNumberFormat="1" applyFont="1"/>
    <xf numFmtId="0" fontId="0" fillId="0" borderId="20" xfId="0" applyBorder="1"/>
    <xf numFmtId="0" fontId="0" fillId="0" borderId="21" xfId="0" applyBorder="1"/>
    <xf numFmtId="0" fontId="0" fillId="0" borderId="22" xfId="0" applyBorder="1"/>
    <xf numFmtId="0" fontId="0" fillId="0" borderId="0" xfId="0" applyAlignment="1">
      <alignment wrapText="1"/>
    </xf>
    <xf numFmtId="0" fontId="0" fillId="0" borderId="0" xfId="0" pivotButton="1"/>
    <xf numFmtId="0" fontId="0" fillId="0" borderId="0" xfId="0" applyAlignment="1">
      <alignment horizontal="left"/>
    </xf>
    <xf numFmtId="0" fontId="2" fillId="3" borderId="0" xfId="0" applyFont="1" applyFill="1"/>
    <xf numFmtId="1" fontId="0" fillId="3" borderId="0" xfId="0" applyNumberFormat="1" applyFill="1"/>
    <xf numFmtId="165" fontId="0" fillId="0" borderId="11" xfId="0" applyNumberFormat="1" applyBorder="1"/>
    <xf numFmtId="165" fontId="0" fillId="0" borderId="15" xfId="0" applyNumberFormat="1" applyBorder="1"/>
    <xf numFmtId="165" fontId="0" fillId="0" borderId="19" xfId="0" applyNumberFormat="1" applyBorder="1"/>
    <xf numFmtId="165" fontId="0" fillId="0" borderId="26" xfId="0" applyNumberFormat="1" applyBorder="1"/>
    <xf numFmtId="165" fontId="2" fillId="0" borderId="7" xfId="0" applyNumberFormat="1" applyFont="1" applyBorder="1"/>
    <xf numFmtId="6" fontId="2" fillId="4" borderId="4" xfId="0" applyNumberFormat="1" applyFont="1" applyFill="1" applyBorder="1"/>
    <xf numFmtId="6" fontId="0" fillId="0" borderId="11" xfId="0" applyNumberFormat="1" applyBorder="1"/>
    <xf numFmtId="6" fontId="0" fillId="0" borderId="15" xfId="0" applyNumberFormat="1" applyBorder="1"/>
    <xf numFmtId="6" fontId="0" fillId="0" borderId="26" xfId="0" applyNumberFormat="1" applyBorder="1"/>
    <xf numFmtId="0" fontId="0" fillId="0" borderId="23" xfId="0" applyBorder="1"/>
    <xf numFmtId="0" fontId="0" fillId="4" borderId="16" xfId="0" applyFill="1" applyBorder="1"/>
    <xf numFmtId="165" fontId="0" fillId="2" borderId="12" xfId="0" applyNumberFormat="1" applyFill="1" applyBorder="1"/>
    <xf numFmtId="165" fontId="0" fillId="4" borderId="5" xfId="0" applyNumberFormat="1" applyFill="1" applyBorder="1"/>
    <xf numFmtId="0" fontId="0" fillId="0" borderId="12" xfId="0" applyBorder="1"/>
    <xf numFmtId="0" fontId="9" fillId="0" borderId="0" xfId="0" applyFont="1"/>
    <xf numFmtId="1" fontId="15" fillId="0" borderId="10" xfId="0" applyNumberFormat="1" applyFont="1" applyBorder="1"/>
    <xf numFmtId="0" fontId="19" fillId="3" borderId="0" xfId="0" applyFont="1" applyFill="1"/>
    <xf numFmtId="44" fontId="0" fillId="0" borderId="16" xfId="0" applyNumberFormat="1" applyBorder="1"/>
    <xf numFmtId="2" fontId="2" fillId="2" borderId="5" xfId="0" applyNumberFormat="1" applyFont="1" applyFill="1" applyBorder="1"/>
    <xf numFmtId="2" fontId="0" fillId="6" borderId="5" xfId="0" applyNumberFormat="1" applyFill="1" applyBorder="1"/>
    <xf numFmtId="164" fontId="1" fillId="6" borderId="0" xfId="0" applyNumberFormat="1" applyFont="1" applyFill="1"/>
    <xf numFmtId="164" fontId="0" fillId="6" borderId="0" xfId="0" applyNumberFormat="1" applyFill="1"/>
    <xf numFmtId="0" fontId="0" fillId="14" borderId="0" xfId="0" applyFill="1"/>
    <xf numFmtId="0" fontId="0" fillId="15" borderId="0" xfId="0" applyFill="1"/>
    <xf numFmtId="0" fontId="0" fillId="16" borderId="0" xfId="0" applyFill="1"/>
    <xf numFmtId="0" fontId="0" fillId="17" borderId="0" xfId="0" applyFill="1"/>
    <xf numFmtId="0" fontId="0" fillId="18" borderId="0" xfId="0" applyFill="1"/>
    <xf numFmtId="2" fontId="0" fillId="18" borderId="0" xfId="0" applyNumberFormat="1" applyFill="1"/>
    <xf numFmtId="165" fontId="7" fillId="0" borderId="51" xfId="1" applyNumberFormat="1" applyFont="1" applyFill="1" applyBorder="1"/>
    <xf numFmtId="165" fontId="7" fillId="0" borderId="51" xfId="0" applyNumberFormat="1" applyFont="1" applyBorder="1" applyProtection="1">
      <protection locked="0"/>
    </xf>
    <xf numFmtId="165" fontId="7" fillId="0" borderId="52" xfId="0" applyNumberFormat="1" applyFont="1" applyBorder="1" applyProtection="1">
      <protection locked="0"/>
    </xf>
    <xf numFmtId="0" fontId="7" fillId="18" borderId="50" xfId="0" applyFont="1" applyFill="1" applyBorder="1" applyAlignment="1">
      <alignment wrapText="1"/>
    </xf>
    <xf numFmtId="0" fontId="20" fillId="0" borderId="0" xfId="0" applyFont="1"/>
    <xf numFmtId="9" fontId="7" fillId="0" borderId="51" xfId="3" applyFont="1" applyFill="1" applyBorder="1" applyProtection="1">
      <protection locked="0"/>
    </xf>
    <xf numFmtId="9" fontId="7" fillId="0" borderId="52" xfId="3" applyFont="1" applyFill="1" applyBorder="1" applyProtection="1">
      <protection locked="0"/>
    </xf>
    <xf numFmtId="0" fontId="22" fillId="10" borderId="0" xfId="0" applyFont="1" applyFill="1"/>
    <xf numFmtId="0" fontId="21" fillId="10" borderId="0" xfId="0" applyFont="1" applyFill="1"/>
    <xf numFmtId="0" fontId="2" fillId="16" borderId="0" xfId="0" applyFont="1" applyFill="1"/>
    <xf numFmtId="0" fontId="0" fillId="19" borderId="13" xfId="0" applyFill="1" applyBorder="1"/>
    <xf numFmtId="0" fontId="0" fillId="19" borderId="14" xfId="0" applyFill="1" applyBorder="1"/>
    <xf numFmtId="166" fontId="0" fillId="19" borderId="14" xfId="1" applyNumberFormat="1" applyFont="1" applyFill="1" applyBorder="1"/>
    <xf numFmtId="2" fontId="0" fillId="19" borderId="14" xfId="0" applyNumberFormat="1" applyFill="1" applyBorder="1"/>
    <xf numFmtId="1" fontId="15" fillId="19" borderId="10" xfId="0" applyNumberFormat="1" applyFont="1" applyFill="1" applyBorder="1"/>
    <xf numFmtId="9" fontId="0" fillId="19" borderId="11" xfId="0" applyNumberFormat="1" applyFill="1" applyBorder="1"/>
    <xf numFmtId="9" fontId="9" fillId="19" borderId="0" xfId="0" applyNumberFormat="1" applyFont="1" applyFill="1"/>
    <xf numFmtId="165" fontId="0" fillId="19" borderId="16" xfId="0" applyNumberFormat="1" applyFill="1" applyBorder="1"/>
    <xf numFmtId="165" fontId="0" fillId="19" borderId="11" xfId="0" applyNumberFormat="1" applyFill="1" applyBorder="1"/>
    <xf numFmtId="165" fontId="0" fillId="19" borderId="10" xfId="0" applyNumberFormat="1" applyFill="1" applyBorder="1"/>
    <xf numFmtId="1" fontId="0" fillId="19" borderId="16" xfId="0" applyNumberFormat="1" applyFill="1" applyBorder="1"/>
    <xf numFmtId="1" fontId="0" fillId="19" borderId="11" xfId="0" applyNumberFormat="1" applyFill="1" applyBorder="1"/>
    <xf numFmtId="9" fontId="0" fillId="19" borderId="0" xfId="0" applyNumberFormat="1" applyFill="1"/>
    <xf numFmtId="9" fontId="0" fillId="19" borderId="14" xfId="0" applyNumberFormat="1" applyFill="1" applyBorder="1"/>
    <xf numFmtId="0" fontId="0" fillId="19" borderId="0" xfId="0" applyFill="1"/>
    <xf numFmtId="165" fontId="0" fillId="19" borderId="14" xfId="1" applyNumberFormat="1" applyFont="1" applyFill="1" applyBorder="1"/>
    <xf numFmtId="1" fontId="0" fillId="19" borderId="14" xfId="0" applyNumberFormat="1" applyFill="1" applyBorder="1"/>
    <xf numFmtId="165" fontId="0" fillId="19" borderId="15" xfId="0" applyNumberFormat="1" applyFill="1" applyBorder="1"/>
    <xf numFmtId="165" fontId="0" fillId="19" borderId="14" xfId="0" applyNumberFormat="1" applyFill="1" applyBorder="1"/>
    <xf numFmtId="0" fontId="0" fillId="16" borderId="13" xfId="0" applyFill="1" applyBorder="1"/>
    <xf numFmtId="0" fontId="0" fillId="16" borderId="14" xfId="0" applyFill="1" applyBorder="1"/>
    <xf numFmtId="2" fontId="0" fillId="16" borderId="14" xfId="0" applyNumberFormat="1" applyFill="1" applyBorder="1"/>
    <xf numFmtId="1" fontId="0" fillId="16" borderId="14" xfId="0" applyNumberFormat="1" applyFill="1" applyBorder="1"/>
    <xf numFmtId="9" fontId="0" fillId="16" borderId="11" xfId="0" applyNumberFormat="1" applyFill="1" applyBorder="1"/>
    <xf numFmtId="9" fontId="0" fillId="16" borderId="0" xfId="0" applyNumberFormat="1" applyFill="1"/>
    <xf numFmtId="165" fontId="0" fillId="16" borderId="16" xfId="0" applyNumberFormat="1" applyFill="1" applyBorder="1"/>
    <xf numFmtId="165" fontId="0" fillId="16" borderId="15" xfId="0" applyNumberFormat="1" applyFill="1" applyBorder="1"/>
    <xf numFmtId="165" fontId="0" fillId="16" borderId="14" xfId="0" applyNumberFormat="1" applyFill="1" applyBorder="1"/>
    <xf numFmtId="2" fontId="23" fillId="16" borderId="14" xfId="0" applyNumberFormat="1" applyFont="1" applyFill="1" applyBorder="1"/>
    <xf numFmtId="44" fontId="0" fillId="16" borderId="14" xfId="1" applyFont="1" applyFill="1" applyBorder="1"/>
    <xf numFmtId="0" fontId="9" fillId="0" borderId="13" xfId="0" applyFont="1" applyBorder="1"/>
    <xf numFmtId="9" fontId="0" fillId="3" borderId="0" xfId="0" applyNumberFormat="1" applyFill="1"/>
    <xf numFmtId="2" fontId="0" fillId="3" borderId="0" xfId="0" applyNumberFormat="1" applyFill="1"/>
    <xf numFmtId="168" fontId="0" fillId="2" borderId="12" xfId="0" applyNumberFormat="1" applyFill="1" applyBorder="1"/>
    <xf numFmtId="169" fontId="0" fillId="2" borderId="12" xfId="0" applyNumberFormat="1" applyFill="1" applyBorder="1"/>
    <xf numFmtId="165" fontId="0" fillId="2" borderId="12" xfId="1" applyNumberFormat="1" applyFont="1" applyFill="1" applyBorder="1"/>
    <xf numFmtId="1" fontId="0" fillId="2" borderId="10" xfId="0" applyNumberFormat="1" applyFill="1" applyBorder="1"/>
    <xf numFmtId="9" fontId="0" fillId="2" borderId="11" xfId="0" applyNumberFormat="1" applyFill="1" applyBorder="1"/>
    <xf numFmtId="9" fontId="0" fillId="2" borderId="0" xfId="0" applyNumberFormat="1" applyFill="1"/>
    <xf numFmtId="165" fontId="0" fillId="4" borderId="12" xfId="1" applyNumberFormat="1" applyFont="1" applyFill="1" applyBorder="1"/>
    <xf numFmtId="0" fontId="0" fillId="8" borderId="0" xfId="0" applyFill="1"/>
    <xf numFmtId="0" fontId="2" fillId="8" borderId="0" xfId="0" applyFont="1" applyFill="1"/>
    <xf numFmtId="0" fontId="0" fillId="12" borderId="13" xfId="0" applyFill="1" applyBorder="1"/>
    <xf numFmtId="0" fontId="0" fillId="12" borderId="14" xfId="0" applyFill="1" applyBorder="1"/>
    <xf numFmtId="165" fontId="0" fillId="12" borderId="14" xfId="1" applyNumberFormat="1" applyFont="1" applyFill="1" applyBorder="1"/>
    <xf numFmtId="2" fontId="0" fillId="12" borderId="14" xfId="0" applyNumberFormat="1" applyFill="1" applyBorder="1"/>
    <xf numFmtId="1" fontId="0" fillId="12" borderId="14" xfId="0" applyNumberFormat="1" applyFill="1" applyBorder="1"/>
    <xf numFmtId="9" fontId="0" fillId="12" borderId="11" xfId="0" applyNumberFormat="1" applyFill="1" applyBorder="1"/>
    <xf numFmtId="9" fontId="0" fillId="12" borderId="0" xfId="0" applyNumberFormat="1" applyFill="1"/>
    <xf numFmtId="165" fontId="0" fillId="12" borderId="16" xfId="0" applyNumberFormat="1" applyFill="1" applyBorder="1"/>
    <xf numFmtId="165" fontId="0" fillId="12" borderId="15" xfId="0" applyNumberFormat="1" applyFill="1" applyBorder="1"/>
    <xf numFmtId="165" fontId="0" fillId="12" borderId="14" xfId="0" applyNumberFormat="1" applyFill="1" applyBorder="1"/>
    <xf numFmtId="1" fontId="23" fillId="12" borderId="14" xfId="0" applyNumberFormat="1" applyFont="1" applyFill="1" applyBorder="1"/>
    <xf numFmtId="44" fontId="0" fillId="6" borderId="14" xfId="1" applyFont="1" applyFill="1" applyBorder="1"/>
    <xf numFmtId="169" fontId="0" fillId="19" borderId="14" xfId="1" applyNumberFormat="1" applyFont="1" applyFill="1" applyBorder="1"/>
    <xf numFmtId="165" fontId="1" fillId="16" borderId="14" xfId="1" applyNumberFormat="1" applyFont="1" applyFill="1" applyBorder="1"/>
    <xf numFmtId="0" fontId="27" fillId="20" borderId="54" xfId="0" applyFont="1" applyFill="1" applyBorder="1" applyAlignment="1">
      <alignment vertical="center" wrapText="1"/>
    </xf>
    <xf numFmtId="0" fontId="27" fillId="20" borderId="55" xfId="0" applyFont="1" applyFill="1" applyBorder="1" applyAlignment="1">
      <alignment vertical="center"/>
    </xf>
    <xf numFmtId="0" fontId="27" fillId="20" borderId="0" xfId="0" applyFont="1" applyFill="1" applyAlignment="1">
      <alignment horizontal="left" vertical="center" wrapText="1"/>
    </xf>
    <xf numFmtId="0" fontId="27" fillId="20" borderId="7" xfId="0" applyFont="1" applyFill="1" applyBorder="1" applyAlignment="1">
      <alignment vertical="center"/>
    </xf>
    <xf numFmtId="0" fontId="32" fillId="20" borderId="0" xfId="6" applyFill="1" applyBorder="1" applyAlignment="1">
      <alignment vertical="center" wrapText="1"/>
    </xf>
    <xf numFmtId="0" fontId="32" fillId="20" borderId="7" xfId="6" applyFill="1" applyBorder="1" applyAlignment="1">
      <alignment vertical="center" wrapText="1"/>
    </xf>
    <xf numFmtId="0" fontId="26" fillId="20" borderId="6" xfId="0" applyFont="1" applyFill="1" applyBorder="1" applyAlignment="1">
      <alignment horizontal="center" wrapText="1"/>
    </xf>
    <xf numFmtId="0" fontId="26" fillId="20" borderId="0" xfId="0" applyFont="1" applyFill="1" applyAlignment="1">
      <alignment horizontal="center" wrapText="1"/>
    </xf>
    <xf numFmtId="0" fontId="28" fillId="20" borderId="56" xfId="0" quotePrefix="1" applyFont="1" applyFill="1" applyBorder="1" applyAlignment="1">
      <alignment horizontal="left" wrapText="1"/>
    </xf>
    <xf numFmtId="0" fontId="28" fillId="20" borderId="1" xfId="0" quotePrefix="1" applyFont="1" applyFill="1" applyBorder="1" applyAlignment="1">
      <alignment horizontal="left" wrapText="1"/>
    </xf>
    <xf numFmtId="0" fontId="26" fillId="20" borderId="1" xfId="0" quotePrefix="1" applyFont="1" applyFill="1" applyBorder="1" applyAlignment="1">
      <alignment horizontal="left" wrapText="1"/>
    </xf>
    <xf numFmtId="0" fontId="28" fillId="20" borderId="57" xfId="0" quotePrefix="1" applyFont="1" applyFill="1" applyBorder="1" applyAlignment="1">
      <alignment horizontal="left"/>
    </xf>
    <xf numFmtId="0" fontId="33" fillId="0" borderId="0" xfId="0" quotePrefix="1" applyFont="1" applyAlignment="1">
      <alignment horizontal="left" vertical="center" wrapText="1"/>
    </xf>
    <xf numFmtId="0" fontId="33" fillId="0" borderId="0" xfId="0" quotePrefix="1" applyFont="1" applyAlignment="1">
      <alignment horizontal="center" vertical="center"/>
    </xf>
    <xf numFmtId="2" fontId="29" fillId="0" borderId="0" xfId="0" quotePrefix="1" applyNumberFormat="1" applyFont="1" applyAlignment="1">
      <alignment horizontal="center" vertical="center"/>
    </xf>
    <xf numFmtId="0" fontId="30" fillId="0" borderId="0" xfId="0" quotePrefix="1" applyFont="1" applyAlignment="1">
      <alignment horizontal="center" vertical="center"/>
    </xf>
    <xf numFmtId="0" fontId="31" fillId="0" borderId="0" xfId="0" quotePrefix="1" applyFont="1" applyAlignment="1">
      <alignment horizontal="center" vertical="center"/>
    </xf>
    <xf numFmtId="0" fontId="34" fillId="0" borderId="7" xfId="6" applyFont="1" applyBorder="1"/>
    <xf numFmtId="0" fontId="29" fillId="0" borderId="0" xfId="0" quotePrefix="1" applyFont="1" applyAlignment="1">
      <alignment horizontal="center" vertical="center"/>
    </xf>
    <xf numFmtId="0" fontId="33" fillId="0" borderId="0" xfId="0" quotePrefix="1" applyFont="1" applyAlignment="1">
      <alignment horizontal="left" vertical="top" wrapText="1"/>
    </xf>
    <xf numFmtId="0" fontId="33" fillId="0" borderId="59" xfId="0" quotePrefix="1" applyFont="1" applyBorder="1" applyAlignment="1">
      <alignment horizontal="left" vertical="center" wrapText="1"/>
    </xf>
    <xf numFmtId="0" fontId="33" fillId="0" borderId="59" xfId="0" quotePrefix="1" applyFont="1" applyBorder="1" applyAlignment="1">
      <alignment horizontal="center" vertical="center"/>
    </xf>
    <xf numFmtId="0" fontId="29" fillId="0" borderId="59" xfId="0" quotePrefix="1" applyFont="1" applyBorder="1" applyAlignment="1">
      <alignment horizontal="center" vertical="center"/>
    </xf>
    <xf numFmtId="0" fontId="30" fillId="0" borderId="59" xfId="0" quotePrefix="1" applyFont="1" applyBorder="1" applyAlignment="1">
      <alignment horizontal="center" vertical="center"/>
    </xf>
    <xf numFmtId="0" fontId="31" fillId="0" borderId="59" xfId="0" quotePrefix="1" applyFont="1" applyBorder="1" applyAlignment="1">
      <alignment horizontal="center" vertical="center"/>
    </xf>
    <xf numFmtId="0" fontId="34" fillId="0" borderId="60" xfId="6" applyFont="1" applyBorder="1"/>
    <xf numFmtId="0" fontId="26" fillId="0" borderId="0" xfId="0" applyFont="1" applyAlignment="1">
      <alignment wrapText="1"/>
    </xf>
    <xf numFmtId="0" fontId="27" fillId="0" borderId="0" xfId="0" applyFont="1" applyAlignment="1">
      <alignment wrapText="1"/>
    </xf>
    <xf numFmtId="0" fontId="27" fillId="0" borderId="0" xfId="0" applyFont="1"/>
    <xf numFmtId="0" fontId="35" fillId="0" borderId="0" xfId="0" applyFont="1"/>
    <xf numFmtId="0" fontId="28" fillId="20" borderId="54" xfId="0" quotePrefix="1" applyFont="1" applyFill="1" applyBorder="1" applyAlignment="1">
      <alignment horizontal="center" textRotation="90"/>
    </xf>
    <xf numFmtId="0" fontId="28" fillId="20" borderId="0" xfId="0" quotePrefix="1" applyFont="1" applyFill="1" applyAlignment="1">
      <alignment horizontal="center" textRotation="90"/>
    </xf>
    <xf numFmtId="0" fontId="28" fillId="20" borderId="1" xfId="0" quotePrefix="1" applyFont="1" applyFill="1" applyBorder="1" applyAlignment="1">
      <alignment horizontal="center" textRotation="90"/>
    </xf>
    <xf numFmtId="2" fontId="31" fillId="0" borderId="0" xfId="0" quotePrefix="1" applyNumberFormat="1" applyFont="1" applyAlignment="1">
      <alignment horizontal="center" vertical="center"/>
    </xf>
    <xf numFmtId="170" fontId="31" fillId="0" borderId="0" xfId="5" quotePrefix="1" applyNumberFormat="1" applyFont="1" applyBorder="1" applyAlignment="1">
      <alignment horizontal="center" vertical="center"/>
    </xf>
    <xf numFmtId="0" fontId="36" fillId="0" borderId="0" xfId="0" applyFont="1" applyAlignment="1">
      <alignment wrapText="1"/>
    </xf>
    <xf numFmtId="167" fontId="27" fillId="0" borderId="0" xfId="0" applyNumberFormat="1" applyFont="1"/>
    <xf numFmtId="2" fontId="27" fillId="0" borderId="0" xfId="3" applyNumberFormat="1" applyFont="1"/>
    <xf numFmtId="0" fontId="0" fillId="0" borderId="0" xfId="0" applyAlignment="1">
      <alignment horizontal="center"/>
    </xf>
    <xf numFmtId="171" fontId="0" fillId="12" borderId="16" xfId="0" applyNumberFormat="1" applyFill="1" applyBorder="1"/>
    <xf numFmtId="0" fontId="25" fillId="16" borderId="0" xfId="0" applyFont="1" applyFill="1" applyAlignment="1">
      <alignment vertical="center" wrapText="1"/>
    </xf>
    <xf numFmtId="1" fontId="0" fillId="16" borderId="0" xfId="0" applyNumberFormat="1" applyFill="1"/>
    <xf numFmtId="166" fontId="0" fillId="0" borderId="0" xfId="3" applyNumberFormat="1" applyFont="1"/>
    <xf numFmtId="0" fontId="32" fillId="0" borderId="0" xfId="6"/>
    <xf numFmtId="0" fontId="0" fillId="21" borderId="0" xfId="0" applyFill="1"/>
    <xf numFmtId="2" fontId="0" fillId="0" borderId="0" xfId="3" applyNumberFormat="1" applyFont="1"/>
    <xf numFmtId="167" fontId="0" fillId="0" borderId="0" xfId="3" applyNumberFormat="1" applyFont="1"/>
    <xf numFmtId="172" fontId="0" fillId="0" borderId="0" xfId="3" applyNumberFormat="1" applyFont="1"/>
    <xf numFmtId="1" fontId="0" fillId="0" borderId="10" xfId="1" applyNumberFormat="1" applyFont="1" applyBorder="1"/>
    <xf numFmtId="168" fontId="0" fillId="0" borderId="14" xfId="1" applyNumberFormat="1" applyFont="1" applyBorder="1"/>
    <xf numFmtId="0" fontId="23" fillId="0" borderId="13" xfId="0" applyFont="1" applyBorder="1"/>
    <xf numFmtId="168" fontId="5" fillId="0" borderId="14" xfId="1" applyNumberFormat="1" applyFont="1" applyBorder="1"/>
    <xf numFmtId="170" fontId="0" fillId="0" borderId="16" xfId="5" applyNumberFormat="1" applyFont="1" applyBorder="1"/>
    <xf numFmtId="170" fontId="0" fillId="0" borderId="11" xfId="5" applyNumberFormat="1" applyFont="1" applyBorder="1"/>
    <xf numFmtId="170" fontId="0" fillId="0" borderId="15" xfId="5" applyNumberFormat="1" applyFont="1" applyBorder="1"/>
    <xf numFmtId="0" fontId="0" fillId="2" borderId="11" xfId="0" applyFill="1" applyBorder="1"/>
    <xf numFmtId="0" fontId="8" fillId="0" borderId="0" xfId="0" applyFont="1" applyAlignment="1">
      <alignment wrapText="1"/>
    </xf>
    <xf numFmtId="0" fontId="38" fillId="0" borderId="0" xfId="0" quotePrefix="1" applyFont="1" applyAlignment="1">
      <alignment horizontal="left" vertical="center" wrapText="1"/>
    </xf>
    <xf numFmtId="0" fontId="38" fillId="0" borderId="0" xfId="0" quotePrefix="1" applyFont="1" applyAlignment="1">
      <alignment horizontal="center" vertical="center"/>
    </xf>
    <xf numFmtId="0" fontId="39" fillId="0" borderId="0" xfId="0" quotePrefix="1" applyFont="1" applyAlignment="1">
      <alignment horizontal="center" vertical="center"/>
    </xf>
    <xf numFmtId="0" fontId="40" fillId="0" borderId="0" xfId="0" quotePrefix="1" applyFont="1" applyAlignment="1">
      <alignment horizontal="center" vertical="center"/>
    </xf>
    <xf numFmtId="0" fontId="41" fillId="0" borderId="0" xfId="0" quotePrefix="1" applyFont="1" applyAlignment="1">
      <alignment horizontal="center" vertical="center"/>
    </xf>
    <xf numFmtId="0" fontId="0" fillId="22" borderId="14" xfId="0" applyFill="1" applyBorder="1"/>
    <xf numFmtId="1" fontId="15" fillId="22" borderId="10" xfId="0" applyNumberFormat="1" applyFont="1" applyFill="1" applyBorder="1"/>
    <xf numFmtId="9" fontId="0" fillId="22" borderId="11" xfId="0" applyNumberFormat="1" applyFill="1" applyBorder="1"/>
    <xf numFmtId="9" fontId="9" fillId="22" borderId="0" xfId="0" applyNumberFormat="1" applyFont="1" applyFill="1"/>
    <xf numFmtId="165" fontId="0" fillId="22" borderId="16" xfId="0" applyNumberFormat="1" applyFill="1" applyBorder="1"/>
    <xf numFmtId="165" fontId="0" fillId="22" borderId="11" xfId="0" applyNumberFormat="1" applyFill="1" applyBorder="1"/>
    <xf numFmtId="165" fontId="0" fillId="22" borderId="10" xfId="0" applyNumberFormat="1" applyFill="1" applyBorder="1"/>
    <xf numFmtId="0" fontId="2" fillId="19" borderId="13" xfId="0" applyFont="1" applyFill="1" applyBorder="1"/>
    <xf numFmtId="0" fontId="2" fillId="16" borderId="13" xfId="0" applyFont="1" applyFill="1" applyBorder="1"/>
    <xf numFmtId="0" fontId="2" fillId="12" borderId="13" xfId="0" applyFont="1" applyFill="1" applyBorder="1"/>
    <xf numFmtId="167" fontId="0" fillId="22" borderId="14" xfId="1" applyNumberFormat="1" applyFont="1" applyFill="1" applyBorder="1"/>
    <xf numFmtId="167" fontId="0" fillId="22" borderId="14" xfId="0" applyNumberFormat="1" applyFill="1" applyBorder="1"/>
    <xf numFmtId="0" fontId="23" fillId="22" borderId="13" xfId="0" applyFont="1" applyFill="1" applyBorder="1"/>
    <xf numFmtId="0" fontId="0" fillId="0" borderId="61" xfId="0" applyBorder="1"/>
    <xf numFmtId="0" fontId="0" fillId="0" borderId="62" xfId="0" applyBorder="1"/>
    <xf numFmtId="0" fontId="0" fillId="0" borderId="63" xfId="0" applyBorder="1"/>
    <xf numFmtId="0" fontId="0" fillId="0" borderId="64" xfId="0" applyBorder="1"/>
    <xf numFmtId="172" fontId="0" fillId="0" borderId="65" xfId="0" applyNumberFormat="1" applyBorder="1"/>
    <xf numFmtId="0" fontId="0" fillId="0" borderId="66" xfId="0" applyBorder="1"/>
    <xf numFmtId="0" fontId="0" fillId="0" borderId="67" xfId="0" applyBorder="1"/>
    <xf numFmtId="0" fontId="0" fillId="0" borderId="68" xfId="0" applyBorder="1"/>
    <xf numFmtId="169" fontId="2" fillId="2" borderId="5" xfId="0" applyNumberFormat="1" applyFont="1" applyFill="1" applyBorder="1"/>
    <xf numFmtId="166" fontId="0" fillId="6" borderId="0" xfId="3" applyNumberFormat="1" applyFont="1" applyFill="1"/>
    <xf numFmtId="167" fontId="0" fillId="6" borderId="0" xfId="3" applyNumberFormat="1" applyFont="1" applyFill="1"/>
    <xf numFmtId="2" fontId="0" fillId="6" borderId="0" xfId="3" applyNumberFormat="1" applyFont="1" applyFill="1"/>
    <xf numFmtId="172" fontId="0" fillId="6" borderId="0" xfId="3" applyNumberFormat="1" applyFont="1" applyFill="1"/>
    <xf numFmtId="0" fontId="0" fillId="0" borderId="31" xfId="0" applyBorder="1"/>
    <xf numFmtId="0" fontId="1" fillId="0" borderId="31" xfId="0" applyFont="1" applyBorder="1"/>
    <xf numFmtId="0" fontId="0" fillId="0" borderId="51" xfId="0" applyBorder="1" applyAlignment="1">
      <alignment vertical="center"/>
    </xf>
    <xf numFmtId="0" fontId="0" fillId="0" borderId="52" xfId="0" applyBorder="1" applyAlignment="1">
      <alignment vertical="center"/>
    </xf>
    <xf numFmtId="165" fontId="7" fillId="0" borderId="69" xfId="0" applyNumberFormat="1" applyFont="1" applyBorder="1" applyProtection="1">
      <protection locked="0"/>
    </xf>
    <xf numFmtId="0" fontId="7" fillId="18" borderId="70" xfId="0" applyFont="1" applyFill="1" applyBorder="1" applyAlignment="1">
      <alignment wrapText="1"/>
    </xf>
    <xf numFmtId="0" fontId="0" fillId="0" borderId="70" xfId="0" applyBorder="1" applyAlignment="1">
      <alignment vertical="center"/>
    </xf>
    <xf numFmtId="169" fontId="0" fillId="19" borderId="10" xfId="1" applyNumberFormat="1" applyFont="1" applyFill="1" applyBorder="1"/>
    <xf numFmtId="169" fontId="0" fillId="19" borderId="14" xfId="0" applyNumberFormat="1" applyFill="1" applyBorder="1"/>
    <xf numFmtId="165" fontId="0" fillId="0" borderId="25" xfId="1" applyNumberFormat="1" applyFont="1" applyFill="1" applyBorder="1"/>
    <xf numFmtId="173" fontId="0" fillId="0" borderId="14" xfId="0" applyNumberFormat="1" applyBorder="1"/>
    <xf numFmtId="2" fontId="0" fillId="23" borderId="14" xfId="0" applyNumberFormat="1" applyFill="1" applyBorder="1"/>
    <xf numFmtId="0" fontId="0" fillId="23" borderId="0" xfId="0" applyFill="1"/>
    <xf numFmtId="2" fontId="0" fillId="23" borderId="10" xfId="0" applyNumberFormat="1" applyFill="1" applyBorder="1"/>
    <xf numFmtId="2" fontId="0" fillId="0" borderId="5" xfId="0" applyNumberFormat="1" applyBorder="1"/>
    <xf numFmtId="2" fontId="0" fillId="3" borderId="5" xfId="0" applyNumberFormat="1" applyFill="1" applyBorder="1"/>
    <xf numFmtId="0" fontId="43" fillId="0" borderId="5" xfId="0" applyFont="1" applyBorder="1"/>
    <xf numFmtId="1" fontId="43" fillId="0" borderId="5" xfId="0" applyNumberFormat="1" applyFont="1" applyBorder="1"/>
    <xf numFmtId="0" fontId="2" fillId="0" borderId="0" xfId="0" applyFont="1" applyAlignment="1">
      <alignment wrapText="1"/>
    </xf>
    <xf numFmtId="0" fontId="0" fillId="0" borderId="53" xfId="0" applyBorder="1"/>
    <xf numFmtId="0" fontId="0" fillId="0" borderId="54" xfId="0" applyBorder="1"/>
    <xf numFmtId="0" fontId="0" fillId="0" borderId="55" xfId="0" applyBorder="1"/>
    <xf numFmtId="0" fontId="0" fillId="0" borderId="27" xfId="0" applyBorder="1"/>
    <xf numFmtId="2" fontId="15" fillId="0" borderId="10" xfId="0" applyNumberFormat="1" applyFont="1" applyBorder="1"/>
    <xf numFmtId="0" fontId="1" fillId="16" borderId="13" xfId="0" applyFont="1" applyFill="1" applyBorder="1"/>
    <xf numFmtId="0" fontId="1" fillId="12" borderId="13" xfId="0" applyFont="1" applyFill="1" applyBorder="1"/>
    <xf numFmtId="0" fontId="1" fillId="0" borderId="13" xfId="0" applyFont="1" applyBorder="1"/>
    <xf numFmtId="0" fontId="1" fillId="0" borderId="14" xfId="0" applyFont="1" applyBorder="1"/>
    <xf numFmtId="2" fontId="42" fillId="12" borderId="14" xfId="0" applyNumberFormat="1" applyFont="1" applyFill="1" applyBorder="1"/>
    <xf numFmtId="1" fontId="42" fillId="19" borderId="10" xfId="0" applyNumberFormat="1" applyFont="1" applyFill="1" applyBorder="1"/>
    <xf numFmtId="175" fontId="0" fillId="16" borderId="14" xfId="0" applyNumberFormat="1" applyFill="1" applyBorder="1"/>
    <xf numFmtId="2" fontId="1" fillId="16" borderId="14" xfId="0" applyNumberFormat="1" applyFont="1" applyFill="1" applyBorder="1"/>
    <xf numFmtId="2" fontId="0" fillId="16" borderId="16" xfId="0" applyNumberFormat="1" applyFill="1" applyBorder="1"/>
    <xf numFmtId="2" fontId="0" fillId="16" borderId="15" xfId="0" applyNumberFormat="1" applyFill="1" applyBorder="1"/>
    <xf numFmtId="3" fontId="33" fillId="0" borderId="0" xfId="0" quotePrefix="1" applyNumberFormat="1" applyFont="1" applyAlignment="1">
      <alignment horizontal="left" vertical="center" wrapText="1"/>
    </xf>
    <xf numFmtId="176" fontId="0" fillId="19" borderId="16" xfId="0" applyNumberFormat="1" applyFill="1" applyBorder="1"/>
    <xf numFmtId="176" fontId="0" fillId="19" borderId="15" xfId="0" applyNumberFormat="1" applyFill="1" applyBorder="1"/>
    <xf numFmtId="2" fontId="27" fillId="0" borderId="0" xfId="0" applyNumberFormat="1" applyFont="1"/>
    <xf numFmtId="43" fontId="27" fillId="0" borderId="0" xfId="0" applyNumberFormat="1" applyFont="1"/>
    <xf numFmtId="0" fontId="1" fillId="19" borderId="14" xfId="0" applyFont="1" applyFill="1" applyBorder="1"/>
    <xf numFmtId="0" fontId="15" fillId="8" borderId="0" xfId="0" applyFont="1" applyFill="1"/>
    <xf numFmtId="0" fontId="19" fillId="8" borderId="0" xfId="2" applyFont="1" applyFill="1" applyBorder="1"/>
    <xf numFmtId="170" fontId="19" fillId="8" borderId="0" xfId="5" applyNumberFormat="1" applyFont="1" applyFill="1" applyBorder="1"/>
    <xf numFmtId="0" fontId="1" fillId="8" borderId="0" xfId="0" applyFont="1" applyFill="1"/>
    <xf numFmtId="0" fontId="9" fillId="8" borderId="0" xfId="0" applyFont="1" applyFill="1"/>
    <xf numFmtId="0" fontId="24" fillId="8" borderId="0" xfId="0" applyFont="1" applyFill="1"/>
    <xf numFmtId="2" fontId="9" fillId="8" borderId="0" xfId="0" applyNumberFormat="1" applyFont="1" applyFill="1"/>
    <xf numFmtId="0" fontId="19" fillId="8" borderId="0" xfId="2" applyFont="1" applyFill="1" applyBorder="1" applyAlignment="1">
      <alignment horizontal="left" wrapText="1"/>
    </xf>
    <xf numFmtId="0" fontId="0" fillId="24" borderId="0" xfId="0" applyFill="1"/>
    <xf numFmtId="0" fontId="0" fillId="20" borderId="0" xfId="0" applyFill="1"/>
    <xf numFmtId="0" fontId="15" fillId="0" borderId="0" xfId="0" applyFont="1"/>
    <xf numFmtId="0" fontId="0" fillId="5" borderId="0" xfId="0" applyFill="1"/>
    <xf numFmtId="0" fontId="15" fillId="5" borderId="0" xfId="0" applyFont="1" applyFill="1"/>
    <xf numFmtId="0" fontId="1" fillId="5" borderId="0" xfId="0" applyFont="1" applyFill="1"/>
    <xf numFmtId="0" fontId="14" fillId="5" borderId="0" xfId="0" applyFont="1" applyFill="1"/>
    <xf numFmtId="0" fontId="13" fillId="20" borderId="0" xfId="0" applyFont="1" applyFill="1"/>
    <xf numFmtId="0" fontId="9" fillId="20" borderId="0" xfId="0" applyFont="1" applyFill="1"/>
    <xf numFmtId="0" fontId="17" fillId="8" borderId="0" xfId="0" applyFont="1" applyFill="1"/>
    <xf numFmtId="0" fontId="18" fillId="8" borderId="0" xfId="0" applyFont="1" applyFill="1"/>
    <xf numFmtId="0" fontId="16" fillId="8" borderId="0" xfId="0" applyFont="1" applyFill="1"/>
    <xf numFmtId="0" fontId="19" fillId="8" borderId="0" xfId="0" applyFont="1" applyFill="1"/>
    <xf numFmtId="0" fontId="19" fillId="8" borderId="0" xfId="0" applyFont="1" applyFill="1" applyAlignment="1">
      <alignment vertical="top"/>
    </xf>
    <xf numFmtId="0" fontId="11" fillId="8" borderId="0" xfId="0" applyFont="1" applyFill="1"/>
    <xf numFmtId="0" fontId="19" fillId="8" borderId="0" xfId="0" applyFont="1" applyFill="1" applyAlignment="1">
      <alignment horizontal="left" wrapText="1"/>
    </xf>
    <xf numFmtId="0" fontId="16" fillId="8" borderId="0" xfId="0" applyFont="1" applyFill="1" applyAlignment="1">
      <alignment horizontal="left" wrapText="1"/>
    </xf>
    <xf numFmtId="5" fontId="19" fillId="8" borderId="0" xfId="0" applyNumberFormat="1" applyFont="1" applyFill="1"/>
    <xf numFmtId="0" fontId="0" fillId="8" borderId="71" xfId="0" applyFill="1" applyBorder="1"/>
    <xf numFmtId="0" fontId="46" fillId="8" borderId="72" xfId="0" applyFont="1" applyFill="1" applyBorder="1"/>
    <xf numFmtId="0" fontId="0" fillId="8" borderId="72" xfId="0" applyFill="1" applyBorder="1"/>
    <xf numFmtId="0" fontId="0" fillId="8" borderId="73" xfId="0" applyFill="1" applyBorder="1"/>
    <xf numFmtId="0" fontId="2" fillId="8" borderId="74" xfId="0" applyFont="1" applyFill="1" applyBorder="1"/>
    <xf numFmtId="0" fontId="17" fillId="8" borderId="75" xfId="0" applyFont="1" applyFill="1" applyBorder="1"/>
    <xf numFmtId="0" fontId="0" fillId="8" borderId="74" xfId="0" applyFill="1" applyBorder="1"/>
    <xf numFmtId="9" fontId="17" fillId="8" borderId="75" xfId="0" applyNumberFormat="1" applyFont="1" applyFill="1" applyBorder="1"/>
    <xf numFmtId="0" fontId="15" fillId="8" borderId="74" xfId="0" applyFont="1" applyFill="1" applyBorder="1"/>
    <xf numFmtId="9" fontId="19" fillId="8" borderId="75" xfId="0" applyNumberFormat="1" applyFont="1" applyFill="1" applyBorder="1"/>
    <xf numFmtId="0" fontId="19" fillId="8" borderId="75" xfId="0" applyFont="1" applyFill="1" applyBorder="1"/>
    <xf numFmtId="0" fontId="15" fillId="8" borderId="75" xfId="0" applyFont="1" applyFill="1" applyBorder="1"/>
    <xf numFmtId="0" fontId="16" fillId="8" borderId="75" xfId="0" applyFont="1" applyFill="1" applyBorder="1"/>
    <xf numFmtId="10" fontId="17" fillId="8" borderId="75" xfId="0" applyNumberFormat="1" applyFont="1" applyFill="1" applyBorder="1"/>
    <xf numFmtId="0" fontId="0" fillId="8" borderId="76" xfId="0" applyFill="1" applyBorder="1"/>
    <xf numFmtId="0" fontId="17" fillId="8" borderId="77" xfId="0" applyFont="1" applyFill="1" applyBorder="1"/>
    <xf numFmtId="0" fontId="0" fillId="8" borderId="77" xfId="0" applyFill="1" applyBorder="1"/>
    <xf numFmtId="0" fontId="17" fillId="8" borderId="77" xfId="0" applyFont="1" applyFill="1" applyBorder="1" applyAlignment="1">
      <alignment vertical="top"/>
    </xf>
    <xf numFmtId="0" fontId="17" fillId="8" borderId="78" xfId="0" applyFont="1" applyFill="1" applyBorder="1"/>
    <xf numFmtId="0" fontId="17" fillId="5" borderId="0" xfId="0" applyFont="1" applyFill="1"/>
    <xf numFmtId="0" fontId="0" fillId="8" borderId="75" xfId="0" applyFill="1" applyBorder="1"/>
    <xf numFmtId="0" fontId="16" fillId="0" borderId="0" xfId="0" applyFont="1"/>
    <xf numFmtId="9" fontId="16" fillId="8" borderId="0" xfId="0" applyNumberFormat="1" applyFont="1" applyFill="1"/>
    <xf numFmtId="0" fontId="12" fillId="8" borderId="74" xfId="0" applyFont="1" applyFill="1" applyBorder="1"/>
    <xf numFmtId="0" fontId="16" fillId="8" borderId="0" xfId="0" applyFont="1" applyFill="1" applyAlignment="1">
      <alignment wrapText="1"/>
    </xf>
    <xf numFmtId="0" fontId="0" fillId="8" borderId="78" xfId="0" applyFill="1" applyBorder="1"/>
    <xf numFmtId="0" fontId="2" fillId="25" borderId="79" xfId="0" applyFont="1" applyFill="1" applyBorder="1"/>
    <xf numFmtId="165" fontId="2" fillId="25" borderId="79" xfId="1" applyNumberFormat="1" applyFont="1" applyFill="1" applyBorder="1"/>
    <xf numFmtId="2" fontId="2" fillId="25" borderId="79" xfId="0" applyNumberFormat="1" applyFont="1" applyFill="1" applyBorder="1"/>
    <xf numFmtId="1" fontId="2" fillId="25" borderId="79" xfId="0" applyNumberFormat="1" applyFont="1" applyFill="1" applyBorder="1"/>
    <xf numFmtId="165" fontId="0" fillId="25" borderId="79" xfId="0" applyNumberFormat="1" applyFill="1" applyBorder="1"/>
    <xf numFmtId="165" fontId="2" fillId="25" borderId="79" xfId="0" applyNumberFormat="1" applyFont="1" applyFill="1" applyBorder="1"/>
    <xf numFmtId="0" fontId="0" fillId="8" borderId="0" xfId="0" applyFill="1" applyAlignment="1">
      <alignment horizontal="center"/>
    </xf>
    <xf numFmtId="165" fontId="2" fillId="0" borderId="14" xfId="0" applyNumberFormat="1" applyFont="1" applyBorder="1"/>
    <xf numFmtId="166" fontId="0" fillId="16" borderId="0" xfId="0" applyNumberFormat="1" applyFill="1"/>
    <xf numFmtId="0" fontId="47" fillId="8" borderId="72" xfId="0" applyFont="1" applyFill="1" applyBorder="1"/>
    <xf numFmtId="166" fontId="0" fillId="0" borderId="0" xfId="0" applyNumberFormat="1"/>
    <xf numFmtId="1" fontId="0" fillId="0" borderId="2" xfId="0" applyNumberFormat="1" applyBorder="1"/>
    <xf numFmtId="0" fontId="19" fillId="26" borderId="0" xfId="0" applyFont="1" applyFill="1"/>
    <xf numFmtId="0" fontId="19" fillId="26" borderId="79" xfId="0" applyFont="1" applyFill="1" applyBorder="1"/>
    <xf numFmtId="0" fontId="0" fillId="26" borderId="0" xfId="0" applyFill="1"/>
    <xf numFmtId="174" fontId="19" fillId="26" borderId="0" xfId="1" applyNumberFormat="1" applyFont="1" applyFill="1" applyBorder="1"/>
    <xf numFmtId="9" fontId="16" fillId="8" borderId="79" xfId="0" applyNumberFormat="1" applyFont="1" applyFill="1" applyBorder="1"/>
    <xf numFmtId="9" fontId="19" fillId="26" borderId="79" xfId="0" applyNumberFormat="1" applyFont="1" applyFill="1" applyBorder="1"/>
    <xf numFmtId="170" fontId="19" fillId="26" borderId="79" xfId="5" applyNumberFormat="1" applyFont="1" applyFill="1" applyBorder="1"/>
    <xf numFmtId="1" fontId="19" fillId="26" borderId="79" xfId="5" applyNumberFormat="1" applyFont="1" applyFill="1" applyBorder="1"/>
    <xf numFmtId="1" fontId="19" fillId="26" borderId="79" xfId="0" applyNumberFormat="1" applyFont="1" applyFill="1" applyBorder="1"/>
    <xf numFmtId="0" fontId="19" fillId="8" borderId="79" xfId="0" applyFont="1" applyFill="1" applyBorder="1"/>
    <xf numFmtId="166" fontId="19" fillId="26" borderId="79" xfId="0" applyNumberFormat="1" applyFont="1" applyFill="1" applyBorder="1"/>
    <xf numFmtId="10" fontId="19" fillId="26" borderId="79" xfId="0" applyNumberFormat="1" applyFont="1" applyFill="1" applyBorder="1"/>
    <xf numFmtId="5" fontId="19" fillId="26" borderId="79" xfId="0" applyNumberFormat="1" applyFont="1" applyFill="1" applyBorder="1"/>
    <xf numFmtId="0" fontId="19" fillId="26" borderId="79" xfId="0" applyFont="1" applyFill="1" applyBorder="1" applyAlignment="1">
      <alignment wrapText="1"/>
    </xf>
    <xf numFmtId="0" fontId="17" fillId="26" borderId="79" xfId="0" applyFont="1" applyFill="1" applyBorder="1"/>
    <xf numFmtId="0" fontId="0" fillId="26" borderId="0" xfId="0" applyFill="1" applyAlignment="1">
      <alignment horizontal="center"/>
    </xf>
    <xf numFmtId="0" fontId="0" fillId="28" borderId="0" xfId="0" applyFill="1" applyAlignment="1">
      <alignment horizontal="center"/>
    </xf>
    <xf numFmtId="0" fontId="0" fillId="28" borderId="0" xfId="0" applyFill="1"/>
    <xf numFmtId="1" fontId="19" fillId="26" borderId="80" xfId="0" applyNumberFormat="1" applyFont="1" applyFill="1" applyBorder="1"/>
    <xf numFmtId="169" fontId="0" fillId="2" borderId="20" xfId="0" applyNumberFormat="1" applyFill="1" applyBorder="1"/>
    <xf numFmtId="169" fontId="0" fillId="2" borderId="21" xfId="0" applyNumberFormat="1" applyFill="1" applyBorder="1"/>
    <xf numFmtId="169" fontId="0" fillId="2" borderId="22" xfId="0" applyNumberFormat="1" applyFill="1" applyBorder="1"/>
    <xf numFmtId="0" fontId="0" fillId="2" borderId="9" xfId="0" applyFill="1" applyBorder="1"/>
    <xf numFmtId="0" fontId="0" fillId="2" borderId="10" xfId="0" applyFill="1" applyBorder="1"/>
    <xf numFmtId="165" fontId="0" fillId="2" borderId="10" xfId="1" applyNumberFormat="1" applyFont="1" applyFill="1" applyBorder="1"/>
    <xf numFmtId="2" fontId="0" fillId="2" borderId="10" xfId="0" applyNumberFormat="1" applyFill="1" applyBorder="1"/>
    <xf numFmtId="168" fontId="0" fillId="2" borderId="11" xfId="0" applyNumberFormat="1" applyFill="1" applyBorder="1"/>
    <xf numFmtId="169" fontId="0" fillId="2" borderId="10" xfId="0" applyNumberFormat="1" applyFill="1" applyBorder="1"/>
    <xf numFmtId="2" fontId="0" fillId="19" borderId="16" xfId="0" applyNumberFormat="1" applyFill="1" applyBorder="1"/>
    <xf numFmtId="10" fontId="2" fillId="0" borderId="0" xfId="3" applyNumberFormat="1" applyFont="1"/>
    <xf numFmtId="10" fontId="0" fillId="3" borderId="0" xfId="0" applyNumberFormat="1" applyFill="1"/>
    <xf numFmtId="7" fontId="0" fillId="0" borderId="0" xfId="0" applyNumberFormat="1"/>
    <xf numFmtId="176" fontId="0" fillId="0" borderId="0" xfId="0" applyNumberFormat="1"/>
    <xf numFmtId="165" fontId="0" fillId="2" borderId="0" xfId="1" applyNumberFormat="1" applyFont="1" applyFill="1"/>
    <xf numFmtId="170" fontId="0" fillId="2" borderId="12" xfId="5" applyNumberFormat="1" applyFont="1" applyFill="1" applyBorder="1"/>
    <xf numFmtId="170" fontId="0" fillId="2" borderId="22" xfId="5" applyNumberFormat="1" applyFont="1" applyFill="1" applyBorder="1"/>
    <xf numFmtId="43" fontId="0" fillId="2" borderId="21" xfId="5" applyFont="1" applyFill="1" applyBorder="1"/>
    <xf numFmtId="165" fontId="0" fillId="28" borderId="79" xfId="0" applyNumberFormat="1" applyFill="1" applyBorder="1" applyProtection="1">
      <protection hidden="1"/>
    </xf>
    <xf numFmtId="165" fontId="0" fillId="26" borderId="79" xfId="0" applyNumberFormat="1" applyFill="1" applyBorder="1" applyProtection="1">
      <protection hidden="1"/>
    </xf>
    <xf numFmtId="165" fontId="2" fillId="25" borderId="79" xfId="0" applyNumberFormat="1" applyFont="1" applyFill="1" applyBorder="1" applyProtection="1">
      <protection hidden="1"/>
    </xf>
    <xf numFmtId="0" fontId="0" fillId="0" borderId="0" xfId="0" applyProtection="1">
      <protection hidden="1"/>
    </xf>
    <xf numFmtId="0" fontId="0" fillId="0" borderId="7" xfId="0" applyBorder="1" applyProtection="1">
      <protection hidden="1"/>
    </xf>
    <xf numFmtId="0" fontId="2" fillId="0" borderId="0" xfId="0" applyFont="1" applyProtection="1">
      <protection hidden="1"/>
    </xf>
    <xf numFmtId="0" fontId="2" fillId="0" borderId="7" xfId="0" applyFont="1" applyBorder="1" applyProtection="1">
      <protection hidden="1"/>
    </xf>
    <xf numFmtId="0" fontId="0" fillId="0" borderId="79" xfId="0" applyBorder="1" applyProtection="1">
      <protection hidden="1"/>
    </xf>
    <xf numFmtId="0" fontId="0" fillId="25" borderId="79" xfId="0" applyFill="1" applyBorder="1" applyProtection="1">
      <protection hidden="1"/>
    </xf>
    <xf numFmtId="2" fontId="0" fillId="26" borderId="79" xfId="0" applyNumberFormat="1" applyFill="1" applyBorder="1" applyProtection="1">
      <protection hidden="1"/>
    </xf>
    <xf numFmtId="165" fontId="0" fillId="26" borderId="79" xfId="1" applyNumberFormat="1" applyFont="1" applyFill="1" applyBorder="1" applyProtection="1">
      <protection hidden="1"/>
    </xf>
    <xf numFmtId="165" fontId="15" fillId="26" borderId="79" xfId="1" applyNumberFormat="1" applyFont="1" applyFill="1" applyBorder="1" applyProtection="1">
      <protection hidden="1"/>
    </xf>
    <xf numFmtId="165" fontId="15" fillId="26" borderId="79" xfId="0" applyNumberFormat="1" applyFont="1" applyFill="1" applyBorder="1" applyProtection="1">
      <protection hidden="1"/>
    </xf>
    <xf numFmtId="165" fontId="15" fillId="0" borderId="79" xfId="1" applyNumberFormat="1" applyFont="1" applyFill="1" applyBorder="1" applyProtection="1">
      <protection hidden="1"/>
    </xf>
    <xf numFmtId="165" fontId="15" fillId="0" borderId="79" xfId="0" applyNumberFormat="1" applyFont="1" applyBorder="1" applyProtection="1">
      <protection hidden="1"/>
    </xf>
    <xf numFmtId="165" fontId="1" fillId="0" borderId="79" xfId="0" applyNumberFormat="1" applyFont="1" applyBorder="1" applyProtection="1">
      <protection hidden="1"/>
    </xf>
    <xf numFmtId="165" fontId="0" fillId="29" borderId="79" xfId="1" applyNumberFormat="1" applyFont="1" applyFill="1" applyBorder="1" applyProtection="1">
      <protection hidden="1"/>
    </xf>
    <xf numFmtId="169" fontId="15" fillId="30" borderId="79" xfId="1" applyNumberFormat="1" applyFont="1" applyFill="1" applyBorder="1" applyProtection="1">
      <protection hidden="1"/>
    </xf>
    <xf numFmtId="165" fontId="15" fillId="30" borderId="79" xfId="1" applyNumberFormat="1" applyFont="1" applyFill="1" applyBorder="1" applyProtection="1">
      <protection hidden="1"/>
    </xf>
    <xf numFmtId="165" fontId="15" fillId="30" borderId="79" xfId="0" applyNumberFormat="1" applyFont="1" applyFill="1" applyBorder="1" applyProtection="1">
      <protection hidden="1"/>
    </xf>
    <xf numFmtId="2" fontId="15" fillId="30" borderId="79" xfId="0" applyNumberFormat="1" applyFont="1" applyFill="1" applyBorder="1" applyProtection="1">
      <protection hidden="1"/>
    </xf>
    <xf numFmtId="165" fontId="15" fillId="29" borderId="79" xfId="0" applyNumberFormat="1" applyFont="1" applyFill="1" applyBorder="1" applyProtection="1">
      <protection hidden="1"/>
    </xf>
    <xf numFmtId="165" fontId="12" fillId="29" borderId="79" xfId="0" applyNumberFormat="1" applyFont="1" applyFill="1" applyBorder="1" applyProtection="1">
      <protection hidden="1"/>
    </xf>
    <xf numFmtId="165" fontId="2" fillId="29" borderId="79" xfId="0" applyNumberFormat="1" applyFont="1" applyFill="1" applyBorder="1" applyProtection="1">
      <protection hidden="1"/>
    </xf>
    <xf numFmtId="165" fontId="0" fillId="0" borderId="79" xfId="0" applyNumberFormat="1" applyBorder="1" applyProtection="1">
      <protection hidden="1"/>
    </xf>
    <xf numFmtId="165" fontId="11" fillId="0" borderId="79" xfId="0" applyNumberFormat="1" applyFont="1" applyBorder="1" applyProtection="1">
      <protection hidden="1"/>
    </xf>
    <xf numFmtId="165" fontId="2" fillId="0" borderId="79" xfId="0" applyNumberFormat="1" applyFont="1" applyBorder="1" applyProtection="1">
      <protection hidden="1"/>
    </xf>
    <xf numFmtId="165" fontId="0" fillId="25" borderId="79" xfId="0" applyNumberFormat="1" applyFill="1" applyBorder="1" applyProtection="1">
      <protection hidden="1"/>
    </xf>
    <xf numFmtId="165" fontId="11" fillId="25" borderId="79" xfId="0" applyNumberFormat="1" applyFont="1" applyFill="1" applyBorder="1" applyProtection="1">
      <protection hidden="1"/>
    </xf>
    <xf numFmtId="165" fontId="0" fillId="29" borderId="79" xfId="0" applyNumberFormat="1" applyFill="1" applyBorder="1" applyProtection="1">
      <protection hidden="1"/>
    </xf>
    <xf numFmtId="44" fontId="0" fillId="0" borderId="79" xfId="0" applyNumberFormat="1" applyBorder="1" applyProtection="1">
      <protection hidden="1"/>
    </xf>
    <xf numFmtId="44" fontId="2" fillId="29" borderId="79" xfId="0" applyNumberFormat="1" applyFont="1" applyFill="1" applyBorder="1" applyProtection="1">
      <protection hidden="1"/>
    </xf>
    <xf numFmtId="0" fontId="2" fillId="0" borderId="79" xfId="0" applyFont="1" applyBorder="1" applyProtection="1">
      <protection hidden="1"/>
    </xf>
    <xf numFmtId="165" fontId="0" fillId="27" borderId="79" xfId="0" applyNumberFormat="1" applyFill="1" applyBorder="1" applyProtection="1">
      <protection hidden="1"/>
    </xf>
    <xf numFmtId="165" fontId="2" fillId="27" borderId="79" xfId="0" applyNumberFormat="1" applyFont="1" applyFill="1" applyBorder="1" applyProtection="1">
      <protection hidden="1"/>
    </xf>
    <xf numFmtId="166" fontId="19" fillId="26" borderId="0" xfId="0" applyNumberFormat="1" applyFont="1" applyFill="1"/>
    <xf numFmtId="0" fontId="0" fillId="3" borderId="13" xfId="0" applyFill="1" applyBorder="1"/>
    <xf numFmtId="0" fontId="0" fillId="3" borderId="14" xfId="0" applyFill="1" applyBorder="1"/>
    <xf numFmtId="166" fontId="0" fillId="3" borderId="14" xfId="1" applyNumberFormat="1" applyFont="1" applyFill="1" applyBorder="1"/>
    <xf numFmtId="2" fontId="42" fillId="3" borderId="14" xfId="0" applyNumberFormat="1" applyFont="1" applyFill="1" applyBorder="1"/>
    <xf numFmtId="1" fontId="15" fillId="3" borderId="10" xfId="0" applyNumberFormat="1" applyFont="1" applyFill="1" applyBorder="1"/>
    <xf numFmtId="9" fontId="0" fillId="3" borderId="11" xfId="0" applyNumberFormat="1" applyFill="1" applyBorder="1"/>
    <xf numFmtId="167" fontId="0" fillId="3" borderId="14" xfId="1" applyNumberFormat="1" applyFont="1" applyFill="1" applyBorder="1"/>
    <xf numFmtId="167" fontId="0" fillId="3" borderId="14" xfId="0" applyNumberFormat="1" applyFill="1" applyBorder="1"/>
    <xf numFmtId="9" fontId="15" fillId="3" borderId="10" xfId="3" applyFont="1" applyFill="1" applyBorder="1"/>
    <xf numFmtId="9" fontId="1" fillId="3" borderId="11" xfId="0" applyNumberFormat="1" applyFont="1" applyFill="1" applyBorder="1"/>
    <xf numFmtId="0" fontId="23" fillId="3" borderId="13" xfId="0" applyFont="1" applyFill="1" applyBorder="1"/>
    <xf numFmtId="9" fontId="9" fillId="3" borderId="0" xfId="0" applyNumberFormat="1" applyFont="1" applyFill="1"/>
    <xf numFmtId="44" fontId="0" fillId="3" borderId="16" xfId="0" applyNumberFormat="1" applyFill="1" applyBorder="1"/>
    <xf numFmtId="165" fontId="0" fillId="3" borderId="16" xfId="0" applyNumberFormat="1" applyFill="1" applyBorder="1"/>
    <xf numFmtId="165" fontId="0" fillId="3" borderId="11" xfId="0" applyNumberFormat="1" applyFill="1" applyBorder="1"/>
    <xf numFmtId="165" fontId="0" fillId="3" borderId="10" xfId="0" applyNumberFormat="1" applyFill="1" applyBorder="1"/>
    <xf numFmtId="0" fontId="19" fillId="0" borderId="0" xfId="0" applyFont="1"/>
    <xf numFmtId="0" fontId="0" fillId="8" borderId="53" xfId="0" applyFill="1" applyBorder="1"/>
    <xf numFmtId="0" fontId="46" fillId="8" borderId="54" xfId="0" applyFont="1" applyFill="1" applyBorder="1"/>
    <xf numFmtId="0" fontId="0" fillId="8" borderId="54" xfId="0" applyFill="1" applyBorder="1"/>
    <xf numFmtId="0" fontId="0" fillId="8" borderId="55" xfId="0" applyFill="1" applyBorder="1"/>
    <xf numFmtId="0" fontId="0" fillId="8" borderId="6" xfId="0" applyFill="1" applyBorder="1"/>
    <xf numFmtId="0" fontId="0" fillId="8" borderId="7" xfId="0" applyFill="1" applyBorder="1"/>
    <xf numFmtId="0" fontId="18" fillId="8" borderId="0" xfId="0" applyFont="1" applyFill="1" applyAlignment="1">
      <alignment wrapText="1"/>
    </xf>
    <xf numFmtId="0" fontId="15" fillId="8" borderId="6" xfId="0" applyFont="1" applyFill="1" applyBorder="1"/>
    <xf numFmtId="0" fontId="15" fillId="8" borderId="7" xfId="0" applyFont="1" applyFill="1" applyBorder="1"/>
    <xf numFmtId="0" fontId="18" fillId="8" borderId="7" xfId="0" applyFont="1" applyFill="1" applyBorder="1" applyAlignment="1">
      <alignment wrapText="1"/>
    </xf>
    <xf numFmtId="0" fontId="1" fillId="8" borderId="6" xfId="0" applyFont="1" applyFill="1" applyBorder="1"/>
    <xf numFmtId="0" fontId="19" fillId="8" borderId="0" xfId="0" applyFont="1" applyFill="1" applyAlignment="1">
      <alignment wrapText="1"/>
    </xf>
    <xf numFmtId="0" fontId="37" fillId="8" borderId="7" xfId="0" applyFont="1" applyFill="1" applyBorder="1" applyAlignment="1">
      <alignment wrapText="1"/>
    </xf>
    <xf numFmtId="0" fontId="19" fillId="26" borderId="0" xfId="0" applyFont="1" applyFill="1" applyAlignment="1">
      <alignment wrapText="1"/>
    </xf>
    <xf numFmtId="7" fontId="19" fillId="26" borderId="0" xfId="0" applyNumberFormat="1" applyFont="1" applyFill="1" applyAlignment="1">
      <alignment wrapText="1"/>
    </xf>
    <xf numFmtId="0" fontId="17" fillId="26" borderId="0" xfId="0" applyFont="1" applyFill="1"/>
    <xf numFmtId="0" fontId="48" fillId="8" borderId="0" xfId="0" applyFont="1" applyFill="1"/>
    <xf numFmtId="0" fontId="49" fillId="8" borderId="0" xfId="0" applyFont="1" applyFill="1"/>
    <xf numFmtId="0" fontId="48" fillId="0" borderId="0" xfId="0" applyFont="1" applyAlignment="1">
      <alignment wrapText="1"/>
    </xf>
    <xf numFmtId="165" fontId="0" fillId="3" borderId="14" xfId="0" applyNumberFormat="1" applyFill="1" applyBorder="1"/>
    <xf numFmtId="0" fontId="19" fillId="0" borderId="79" xfId="0" applyFont="1" applyBorder="1"/>
    <xf numFmtId="0" fontId="19" fillId="0" borderId="0" xfId="0" applyFont="1" applyAlignment="1">
      <alignment wrapText="1"/>
    </xf>
    <xf numFmtId="0" fontId="0" fillId="8" borderId="58" xfId="0" applyFill="1" applyBorder="1"/>
    <xf numFmtId="0" fontId="0" fillId="8" borderId="59" xfId="0" applyFill="1" applyBorder="1"/>
    <xf numFmtId="0" fontId="0" fillId="0" borderId="59" xfId="0" applyBorder="1"/>
    <xf numFmtId="0" fontId="19" fillId="8" borderId="59" xfId="0" applyFont="1" applyFill="1" applyBorder="1"/>
    <xf numFmtId="0" fontId="15" fillId="8" borderId="60" xfId="0" applyFont="1" applyFill="1" applyBorder="1"/>
    <xf numFmtId="0" fontId="23" fillId="2" borderId="13" xfId="0" applyFont="1" applyFill="1" applyBorder="1"/>
    <xf numFmtId="0" fontId="0" fillId="26" borderId="79" xfId="0" applyFill="1" applyBorder="1" applyProtection="1">
      <protection hidden="1"/>
    </xf>
    <xf numFmtId="1" fontId="0" fillId="26" borderId="79" xfId="0" applyNumberFormat="1" applyFill="1" applyBorder="1" applyProtection="1">
      <protection hidden="1"/>
    </xf>
    <xf numFmtId="0" fontId="2" fillId="25" borderId="79" xfId="0" applyFont="1" applyFill="1" applyBorder="1" applyProtection="1">
      <protection hidden="1"/>
    </xf>
    <xf numFmtId="165" fontId="0" fillId="0" borderId="79" xfId="1" applyNumberFormat="1" applyFont="1" applyBorder="1" applyProtection="1">
      <protection hidden="1"/>
    </xf>
    <xf numFmtId="2" fontId="0" fillId="0" borderId="79" xfId="0" applyNumberFormat="1" applyBorder="1" applyProtection="1">
      <protection hidden="1"/>
    </xf>
    <xf numFmtId="1" fontId="0" fillId="0" borderId="79" xfId="0" applyNumberFormat="1" applyBorder="1" applyProtection="1">
      <protection hidden="1"/>
    </xf>
    <xf numFmtId="165" fontId="0" fillId="25" borderId="79" xfId="1" applyNumberFormat="1" applyFont="1" applyFill="1" applyBorder="1" applyProtection="1">
      <protection hidden="1"/>
    </xf>
    <xf numFmtId="2" fontId="0" fillId="25" borderId="79" xfId="0" applyNumberFormat="1" applyFill="1" applyBorder="1" applyProtection="1">
      <protection hidden="1"/>
    </xf>
    <xf numFmtId="1" fontId="0" fillId="25" borderId="79" xfId="0" applyNumberFormat="1" applyFill="1" applyBorder="1" applyProtection="1">
      <protection hidden="1"/>
    </xf>
    <xf numFmtId="0" fontId="0" fillId="8" borderId="0" xfId="0" applyFill="1" applyProtection="1">
      <protection hidden="1"/>
    </xf>
    <xf numFmtId="165" fontId="5" fillId="26" borderId="79" xfId="1" applyNumberFormat="1" applyFont="1" applyFill="1" applyBorder="1" applyProtection="1">
      <protection hidden="1"/>
    </xf>
    <xf numFmtId="0" fontId="15" fillId="0" borderId="0" xfId="0" applyFont="1" applyProtection="1">
      <protection hidden="1"/>
    </xf>
    <xf numFmtId="0" fontId="15" fillId="26" borderId="79" xfId="0" applyFont="1" applyFill="1" applyBorder="1" applyProtection="1">
      <protection hidden="1"/>
    </xf>
    <xf numFmtId="2" fontId="15" fillId="26" borderId="79" xfId="0" applyNumberFormat="1" applyFont="1" applyFill="1" applyBorder="1" applyProtection="1">
      <protection hidden="1"/>
    </xf>
    <xf numFmtId="1" fontId="15" fillId="26" borderId="79" xfId="0" applyNumberFormat="1" applyFont="1" applyFill="1" applyBorder="1" applyProtection="1">
      <protection hidden="1"/>
    </xf>
    <xf numFmtId="9" fontId="15" fillId="26" borderId="79" xfId="0" applyNumberFormat="1" applyFont="1" applyFill="1" applyBorder="1" applyProtection="1">
      <protection hidden="1"/>
    </xf>
    <xf numFmtId="9" fontId="15" fillId="0" borderId="0" xfId="0" applyNumberFormat="1" applyFont="1" applyProtection="1">
      <protection hidden="1"/>
    </xf>
    <xf numFmtId="0" fontId="15" fillId="0" borderId="79" xfId="0" applyFont="1" applyBorder="1" applyProtection="1">
      <protection hidden="1"/>
    </xf>
    <xf numFmtId="2" fontId="15" fillId="0" borderId="79" xfId="0" applyNumberFormat="1" applyFont="1" applyBorder="1" applyProtection="1">
      <protection hidden="1"/>
    </xf>
    <xf numFmtId="1" fontId="15" fillId="0" borderId="79" xfId="0" applyNumberFormat="1" applyFont="1" applyBorder="1" applyProtection="1">
      <protection hidden="1"/>
    </xf>
    <xf numFmtId="9" fontId="15" fillId="0" borderId="79" xfId="0" applyNumberFormat="1" applyFont="1" applyBorder="1" applyProtection="1">
      <protection hidden="1"/>
    </xf>
    <xf numFmtId="0" fontId="2" fillId="29" borderId="79" xfId="0" applyFont="1" applyFill="1" applyBorder="1" applyProtection="1">
      <protection hidden="1"/>
    </xf>
    <xf numFmtId="0" fontId="15" fillId="8" borderId="0" xfId="0" applyFont="1" applyFill="1" applyProtection="1">
      <protection hidden="1"/>
    </xf>
    <xf numFmtId="0" fontId="15" fillId="30" borderId="79" xfId="0" applyFont="1" applyFill="1" applyBorder="1" applyProtection="1">
      <protection hidden="1"/>
    </xf>
    <xf numFmtId="1" fontId="15" fillId="30" borderId="79" xfId="0" applyNumberFormat="1" applyFont="1" applyFill="1" applyBorder="1" applyProtection="1">
      <protection hidden="1"/>
    </xf>
    <xf numFmtId="9" fontId="15" fillId="30" borderId="79" xfId="0" applyNumberFormat="1" applyFont="1" applyFill="1" applyBorder="1" applyProtection="1">
      <protection hidden="1"/>
    </xf>
    <xf numFmtId="165" fontId="2" fillId="29" borderId="79" xfId="1" applyNumberFormat="1" applyFont="1" applyFill="1" applyBorder="1" applyProtection="1">
      <protection hidden="1"/>
    </xf>
    <xf numFmtId="0" fontId="2" fillId="26" borderId="79" xfId="0" applyFont="1" applyFill="1" applyBorder="1" applyProtection="1">
      <protection hidden="1"/>
    </xf>
    <xf numFmtId="0" fontId="0" fillId="29" borderId="79" xfId="0" applyFill="1" applyBorder="1" applyProtection="1">
      <protection hidden="1"/>
    </xf>
    <xf numFmtId="2" fontId="2" fillId="29" borderId="79" xfId="0" applyNumberFormat="1" applyFont="1" applyFill="1" applyBorder="1" applyProtection="1">
      <protection hidden="1"/>
    </xf>
    <xf numFmtId="1" fontId="2" fillId="29" borderId="79" xfId="0" applyNumberFormat="1" applyFont="1" applyFill="1" applyBorder="1" applyProtection="1">
      <protection hidden="1"/>
    </xf>
    <xf numFmtId="165" fontId="0" fillId="0" borderId="79" xfId="1" applyNumberFormat="1" applyFont="1" applyFill="1" applyBorder="1" applyProtection="1">
      <protection hidden="1"/>
    </xf>
    <xf numFmtId="0" fontId="2" fillId="27" borderId="79" xfId="0" applyFont="1" applyFill="1" applyBorder="1" applyProtection="1">
      <protection hidden="1"/>
    </xf>
    <xf numFmtId="165" fontId="2" fillId="27" borderId="79" xfId="1" applyNumberFormat="1" applyFont="1" applyFill="1" applyBorder="1" applyProtection="1">
      <protection hidden="1"/>
    </xf>
    <xf numFmtId="2" fontId="2" fillId="27" borderId="79" xfId="0" applyNumberFormat="1" applyFont="1" applyFill="1" applyBorder="1" applyProtection="1">
      <protection hidden="1"/>
    </xf>
    <xf numFmtId="1" fontId="2" fillId="27" borderId="79" xfId="0" applyNumberFormat="1" applyFont="1" applyFill="1" applyBorder="1" applyProtection="1">
      <protection hidden="1"/>
    </xf>
    <xf numFmtId="0" fontId="0" fillId="28" borderId="79" xfId="0" applyFill="1" applyBorder="1" applyProtection="1">
      <protection hidden="1"/>
    </xf>
    <xf numFmtId="165" fontId="0" fillId="28" borderId="79" xfId="1" applyNumberFormat="1" applyFont="1" applyFill="1" applyBorder="1" applyProtection="1">
      <protection hidden="1"/>
    </xf>
    <xf numFmtId="2" fontId="0" fillId="28" borderId="79" xfId="0" applyNumberFormat="1" applyFill="1" applyBorder="1" applyProtection="1">
      <protection hidden="1"/>
    </xf>
    <xf numFmtId="1" fontId="0" fillId="28" borderId="79" xfId="0" applyNumberFormat="1" applyFill="1" applyBorder="1" applyProtection="1">
      <protection hidden="1"/>
    </xf>
    <xf numFmtId="0" fontId="17" fillId="8" borderId="74" xfId="0" applyFont="1" applyFill="1" applyBorder="1"/>
    <xf numFmtId="0" fontId="17" fillId="0" borderId="0" xfId="0" applyFont="1"/>
    <xf numFmtId="5" fontId="19" fillId="8" borderId="0" xfId="0" applyNumberFormat="1" applyFont="1" applyFill="1" applyProtection="1">
      <protection hidden="1"/>
    </xf>
    <xf numFmtId="5" fontId="19" fillId="8" borderId="75" xfId="0" applyNumberFormat="1" applyFont="1" applyFill="1" applyBorder="1" applyProtection="1">
      <protection hidden="1"/>
    </xf>
    <xf numFmtId="0" fontId="0" fillId="31" borderId="0" xfId="0" applyFill="1"/>
    <xf numFmtId="2" fontId="0" fillId="31" borderId="0" xfId="0" applyNumberFormat="1" applyFill="1"/>
    <xf numFmtId="0" fontId="8" fillId="26" borderId="79" xfId="0" applyFont="1" applyFill="1" applyBorder="1" applyAlignment="1">
      <alignment horizontal="left" vertical="top" wrapText="1"/>
    </xf>
    <xf numFmtId="0" fontId="37" fillId="8" borderId="0" xfId="0" applyFont="1" applyFill="1" applyAlignment="1" applyProtection="1">
      <alignment horizontal="center" wrapText="1"/>
      <protection hidden="1"/>
    </xf>
    <xf numFmtId="0" fontId="0" fillId="16" borderId="0" xfId="0" applyFill="1" applyAlignment="1">
      <alignment horizontal="center"/>
    </xf>
    <xf numFmtId="0" fontId="0" fillId="15" borderId="0" xfId="0" applyFill="1" applyAlignment="1">
      <alignment horizontal="left" wrapText="1"/>
    </xf>
    <xf numFmtId="0" fontId="0" fillId="0" borderId="0" xfId="0" applyAlignment="1">
      <alignment horizontal="center" wrapText="1"/>
    </xf>
    <xf numFmtId="0" fontId="0" fillId="0" borderId="0" xfId="0" applyAlignment="1">
      <alignment horizontal="center"/>
    </xf>
    <xf numFmtId="0" fontId="26" fillId="20" borderId="53" xfId="0" applyFont="1" applyFill="1" applyBorder="1" applyAlignment="1">
      <alignment horizontal="center" wrapText="1"/>
    </xf>
    <xf numFmtId="0" fontId="26" fillId="20" borderId="54" xfId="0" applyFont="1" applyFill="1" applyBorder="1" applyAlignment="1">
      <alignment horizontal="center" wrapText="1"/>
    </xf>
    <xf numFmtId="0" fontId="26" fillId="20" borderId="6" xfId="0" applyFont="1" applyFill="1" applyBorder="1" applyAlignment="1">
      <alignment horizontal="center" wrapText="1"/>
    </xf>
    <xf numFmtId="0" fontId="26" fillId="20" borderId="0" xfId="0" applyFont="1" applyFill="1" applyAlignment="1">
      <alignment horizontal="center" wrapText="1"/>
    </xf>
    <xf numFmtId="0" fontId="28" fillId="20" borderId="54" xfId="0" quotePrefix="1" applyFont="1" applyFill="1" applyBorder="1" applyAlignment="1">
      <alignment horizontal="center" textRotation="90"/>
    </xf>
    <xf numFmtId="0" fontId="28" fillId="20" borderId="0" xfId="0" quotePrefix="1" applyFont="1" applyFill="1" applyAlignment="1">
      <alignment horizontal="center" textRotation="90"/>
    </xf>
    <xf numFmtId="0" fontId="28" fillId="20" borderId="1" xfId="0" quotePrefix="1" applyFont="1" applyFill="1" applyBorder="1" applyAlignment="1">
      <alignment horizontal="center" textRotation="90"/>
    </xf>
    <xf numFmtId="2" fontId="29" fillId="20" borderId="54" xfId="0" quotePrefix="1" applyNumberFormat="1" applyFont="1" applyFill="1" applyBorder="1" applyAlignment="1">
      <alignment horizontal="center" textRotation="90" wrapText="1"/>
    </xf>
    <xf numFmtId="2" fontId="29" fillId="20" borderId="0" xfId="0" quotePrefix="1" applyNumberFormat="1" applyFont="1" applyFill="1" applyAlignment="1">
      <alignment horizontal="center" textRotation="90" wrapText="1"/>
    </xf>
    <xf numFmtId="2" fontId="29" fillId="20" borderId="1" xfId="0" quotePrefix="1" applyNumberFormat="1" applyFont="1" applyFill="1" applyBorder="1" applyAlignment="1">
      <alignment horizontal="center" textRotation="90" wrapText="1"/>
    </xf>
    <xf numFmtId="0" fontId="30" fillId="20" borderId="54" xfId="0" quotePrefix="1" applyFont="1" applyFill="1" applyBorder="1" applyAlignment="1">
      <alignment horizontal="center" textRotation="90" wrapText="1"/>
    </xf>
    <xf numFmtId="0" fontId="30" fillId="20" borderId="0" xfId="0" quotePrefix="1" applyFont="1" applyFill="1" applyAlignment="1">
      <alignment horizontal="center" textRotation="90" wrapText="1"/>
    </xf>
    <xf numFmtId="0" fontId="30" fillId="20" borderId="1" xfId="0" quotePrefix="1" applyFont="1" applyFill="1" applyBorder="1" applyAlignment="1">
      <alignment horizontal="center" textRotation="90" wrapText="1"/>
    </xf>
    <xf numFmtId="0" fontId="31" fillId="20" borderId="54" xfId="0" quotePrefix="1" applyFont="1" applyFill="1" applyBorder="1" applyAlignment="1">
      <alignment horizontal="center" textRotation="90" wrapText="1"/>
    </xf>
    <xf numFmtId="0" fontId="31" fillId="20" borderId="0" xfId="0" quotePrefix="1" applyFont="1" applyFill="1" applyAlignment="1">
      <alignment horizontal="center" textRotation="90" wrapText="1"/>
    </xf>
    <xf numFmtId="0" fontId="31" fillId="20" borderId="1" xfId="0" quotePrefix="1" applyFont="1" applyFill="1" applyBorder="1" applyAlignment="1">
      <alignment horizontal="center" textRotation="90" wrapText="1"/>
    </xf>
    <xf numFmtId="0" fontId="26" fillId="0" borderId="6" xfId="0" quotePrefix="1" applyFont="1" applyBorder="1" applyAlignment="1">
      <alignment horizontal="left" vertical="top" wrapText="1"/>
    </xf>
    <xf numFmtId="0" fontId="26" fillId="0" borderId="6" xfId="0" applyFont="1" applyBorder="1" applyAlignment="1">
      <alignment wrapText="1"/>
    </xf>
    <xf numFmtId="0" fontId="33" fillId="0" borderId="0" xfId="0" quotePrefix="1" applyFont="1" applyAlignment="1">
      <alignment horizontal="left" vertical="top" wrapText="1"/>
    </xf>
    <xf numFmtId="0" fontId="27" fillId="0" borderId="0" xfId="0" applyFont="1" applyAlignment="1">
      <alignment wrapText="1"/>
    </xf>
    <xf numFmtId="0" fontId="26" fillId="0" borderId="6" xfId="0" applyFont="1" applyBorder="1" applyAlignment="1">
      <alignment horizontal="left" wrapText="1"/>
    </xf>
    <xf numFmtId="0" fontId="26" fillId="0" borderId="58" xfId="0" applyFont="1" applyBorder="1" applyAlignment="1">
      <alignment wrapText="1"/>
    </xf>
    <xf numFmtId="0" fontId="27" fillId="0" borderId="59" xfId="0" applyFont="1" applyBorder="1" applyAlignment="1">
      <alignment wrapText="1"/>
    </xf>
  </cellXfs>
  <cellStyles count="7">
    <cellStyle name="20% - Accent1" xfId="2" builtinId="30"/>
    <cellStyle name="Comma" xfId="5" builtinId="3"/>
    <cellStyle name="Currency" xfId="1" builtinId="4"/>
    <cellStyle name="Currency 2" xfId="4" xr:uid="{00000000-0005-0000-0000-000003000000}"/>
    <cellStyle name="Hyperlink" xfId="6" builtinId="8"/>
    <cellStyle name="Normal" xfId="0" builtinId="0"/>
    <cellStyle name="Per cent" xfId="3" builtinId="5"/>
  </cellStyles>
  <dxfs count="15">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font>
        <color rgb="FFFEE5C8"/>
      </font>
    </dxf>
    <dxf>
      <fill>
        <patternFill patternType="solid">
          <fgColor auto="1"/>
          <bgColor rgb="FFFEE5C8"/>
        </patternFill>
      </fill>
      <border>
        <left/>
        <right/>
        <top/>
        <bottom/>
      </border>
    </dxf>
    <dxf>
      <border>
        <left style="thin">
          <color rgb="FFFF0000"/>
        </left>
        <right style="thin">
          <color rgb="FFFF0000"/>
        </right>
        <top style="thin">
          <color rgb="FFFF0000"/>
        </top>
        <bottom style="thin">
          <color rgb="FFFF0000"/>
        </bottom>
        <vertical/>
        <horizontal/>
      </border>
    </dxf>
    <dxf>
      <fill>
        <patternFill>
          <bgColor rgb="FFFEE5C8"/>
        </patternFill>
      </fill>
      <border>
        <left style="thin">
          <color auto="1"/>
        </left>
        <right style="thin">
          <color auto="1"/>
        </right>
        <top style="thin">
          <color auto="1"/>
        </top>
        <bottom style="thin">
          <color auto="1"/>
        </bottom>
        <vertical/>
        <horizontal/>
      </border>
    </dxf>
    <dxf>
      <fill>
        <patternFill patternType="solid">
          <fgColor auto="1"/>
          <bgColor theme="5" tint="0.79998168889431442"/>
        </patternFill>
      </fill>
      <border>
        <left style="thin">
          <color auto="1"/>
        </left>
        <right style="thin">
          <color auto="1"/>
        </right>
        <top style="thin">
          <color auto="1"/>
        </top>
        <bottom style="thin">
          <color auto="1"/>
        </bottom>
      </border>
    </dxf>
    <dxf>
      <numFmt numFmtId="165" formatCode="_-&quot;$&quot;* #,##0_-;\-&quot;$&quot;* #,##0_-;_-&quot;$&quot;* &quot;-&quot;??_-;_-@_-"/>
    </dxf>
    <dxf>
      <numFmt numFmtId="171" formatCode="_-&quot;$&quot;* #,##0.0_-;\-&quot;$&quot;* #,##0.0_-;_-&quot;$&quot;* &quot;-&quot;??_-;_-@_-"/>
    </dxf>
    <dxf>
      <numFmt numFmtId="34" formatCode="_-&quot;$&quot;* #,##0.00_-;\-&quot;$&quot;* #,##0.00_-;_-&quot;$&quot;* &quot;-&quot;??_-;_-@_-"/>
    </dxf>
  </dxfs>
  <tableStyles count="0" defaultTableStyle="TableStyleMedium2" defaultPivotStyle="PivotStyleLight16"/>
  <colors>
    <mruColors>
      <color rgb="FF87FFC3"/>
      <color rgb="FFAAFFCC"/>
      <color rgb="FF00AEEE"/>
      <color rgb="FFB9EDFF"/>
      <color rgb="FFFEE5C8"/>
      <color rgb="FFE2E2E2"/>
      <color rgb="FF00B15C"/>
      <color rgb="FFFEFEFE"/>
      <color rgb="FF00BAFC"/>
      <color rgb="FFA1F4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Housing development benefits over 40 years</a:t>
            </a:r>
            <a:r>
              <a:rPr lang="en-AU" sz="1200" baseline="0"/>
              <a:t> ($, NPV)</a:t>
            </a:r>
            <a:endParaRPr lang="en-AU"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0"/>
          <c:order val="0"/>
          <c:spPr>
            <a:solidFill>
              <a:srgbClr val="E9D9FF"/>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benefits'!$B$7:$B$10</c:f>
              <c:strCache>
                <c:ptCount val="4"/>
                <c:pt idx="0">
                  <c:v>NPV Total public benefit ($)</c:v>
                </c:pt>
                <c:pt idx="1">
                  <c:v>NPV Total private benefit ($)</c:v>
                </c:pt>
                <c:pt idx="2">
                  <c:v>NPV Total private benefit, WTP + wellbeing ($)</c:v>
                </c:pt>
                <c:pt idx="3">
                  <c:v>NPV Total housing development benefits ($)</c:v>
                </c:pt>
              </c:strCache>
            </c:strRef>
          </c:cat>
          <c:val>
            <c:numRef>
              <c:f>'Summary benefits'!$L$7:$L$10</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131C-47EF-B2F3-4F0AF245DB4F}"/>
            </c:ext>
          </c:extLst>
        </c:ser>
        <c:dLbls>
          <c:showLegendKey val="0"/>
          <c:showVal val="0"/>
          <c:showCatName val="0"/>
          <c:showSerName val="0"/>
          <c:showPercent val="0"/>
          <c:showBubbleSize val="0"/>
        </c:dLbls>
        <c:gapWidth val="219"/>
        <c:overlap val="-27"/>
        <c:axId val="1416726175"/>
        <c:axId val="1416722015"/>
      </c:barChart>
      <c:catAx>
        <c:axId val="141672617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6722015"/>
        <c:crosses val="autoZero"/>
        <c:auto val="1"/>
        <c:lblAlgn val="ctr"/>
        <c:lblOffset val="100"/>
        <c:noMultiLvlLbl val="0"/>
      </c:catAx>
      <c:valAx>
        <c:axId val="1416722015"/>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1672617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Housing development </a:t>
            </a:r>
            <a:r>
              <a:rPr lang="en-AU" sz="1200" baseline="0"/>
              <a:t>benefits over 40 years ($)</a:t>
            </a:r>
            <a:endParaRPr lang="en-AU"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0"/>
          <c:order val="0"/>
          <c:spPr>
            <a:solidFill>
              <a:srgbClr val="E9D9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benefits'!$B$3:$B$6</c:f>
              <c:strCache>
                <c:ptCount val="4"/>
                <c:pt idx="0">
                  <c:v>Total public benefit ($)</c:v>
                </c:pt>
                <c:pt idx="1">
                  <c:v>Total private benefit ($)</c:v>
                </c:pt>
                <c:pt idx="2">
                  <c:v>Total private benefit, WTP + wellbeing($)</c:v>
                </c:pt>
                <c:pt idx="3">
                  <c:v>Total housing development benefits ($)</c:v>
                </c:pt>
              </c:strCache>
            </c:strRef>
          </c:cat>
          <c:val>
            <c:numRef>
              <c:f>'Summary benefits'!$L$3:$L$6</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43A5-4346-99C7-A2C58C5C6E2E}"/>
            </c:ext>
          </c:extLst>
        </c:ser>
        <c:dLbls>
          <c:showLegendKey val="0"/>
          <c:showVal val="0"/>
          <c:showCatName val="0"/>
          <c:showSerName val="0"/>
          <c:showPercent val="0"/>
          <c:showBubbleSize val="0"/>
        </c:dLbls>
        <c:gapWidth val="219"/>
        <c:overlap val="-27"/>
        <c:axId val="1607089215"/>
        <c:axId val="1607089631"/>
      </c:barChart>
      <c:catAx>
        <c:axId val="160708921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7089631"/>
        <c:crosses val="autoZero"/>
        <c:auto val="1"/>
        <c:lblAlgn val="ctr"/>
        <c:lblOffset val="100"/>
        <c:noMultiLvlLbl val="0"/>
      </c:catAx>
      <c:valAx>
        <c:axId val="1607089631"/>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708921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Annual h</a:t>
            </a:r>
            <a:r>
              <a:rPr lang="en-AU" sz="1200" baseline="0"/>
              <a:t>ousing development benefits </a:t>
            </a:r>
            <a:r>
              <a:rPr lang="en-AU" sz="1200"/>
              <a:t>($)</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E9D9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benefits'!$B$3:$B$6</c:f>
              <c:strCache>
                <c:ptCount val="4"/>
                <c:pt idx="0">
                  <c:v>Total public benefit ($)</c:v>
                </c:pt>
                <c:pt idx="1">
                  <c:v>Total private benefit ($)</c:v>
                </c:pt>
                <c:pt idx="2">
                  <c:v>Total private benefit, WTP + wellbeing($)</c:v>
                </c:pt>
                <c:pt idx="3">
                  <c:v>Total housing development benefits ($)</c:v>
                </c:pt>
              </c:strCache>
            </c:strRef>
          </c:cat>
          <c:val>
            <c:numRef>
              <c:f>'Summary benefits'!$K$3:$K$6</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068B-4689-A27A-4B85FAA9D79A}"/>
            </c:ext>
          </c:extLst>
        </c:ser>
        <c:dLbls>
          <c:showLegendKey val="0"/>
          <c:showVal val="0"/>
          <c:showCatName val="0"/>
          <c:showSerName val="0"/>
          <c:showPercent val="0"/>
          <c:showBubbleSize val="0"/>
        </c:dLbls>
        <c:gapWidth val="219"/>
        <c:overlap val="-27"/>
        <c:axId val="1607080895"/>
        <c:axId val="1607082143"/>
      </c:barChart>
      <c:catAx>
        <c:axId val="1607080895"/>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7082143"/>
        <c:crosses val="autoZero"/>
        <c:auto val="1"/>
        <c:lblAlgn val="ctr"/>
        <c:lblOffset val="100"/>
        <c:noMultiLvlLbl val="0"/>
      </c:catAx>
      <c:valAx>
        <c:axId val="1607082143"/>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7080895"/>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Annual per dwelling housing development benefits ($)</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E9D9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benefits'!$B$3:$B$6</c:f>
              <c:strCache>
                <c:ptCount val="4"/>
                <c:pt idx="0">
                  <c:v>Total public benefit ($)</c:v>
                </c:pt>
                <c:pt idx="1">
                  <c:v>Total private benefit ($)</c:v>
                </c:pt>
                <c:pt idx="2">
                  <c:v>Total private benefit, WTP + wellbeing($)</c:v>
                </c:pt>
                <c:pt idx="3">
                  <c:v>Total housing development benefits ($)</c:v>
                </c:pt>
              </c:strCache>
            </c:strRef>
          </c:cat>
          <c:val>
            <c:numRef>
              <c:f>'Summary benefits'!$J$3:$J$6</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6735-4838-A251-731A92DD6939}"/>
            </c:ext>
          </c:extLst>
        </c:ser>
        <c:dLbls>
          <c:showLegendKey val="0"/>
          <c:showVal val="0"/>
          <c:showCatName val="0"/>
          <c:showSerName val="0"/>
          <c:showPercent val="0"/>
          <c:showBubbleSize val="0"/>
        </c:dLbls>
        <c:gapWidth val="219"/>
        <c:overlap val="-27"/>
        <c:axId val="1496684991"/>
        <c:axId val="1496685823"/>
      </c:barChart>
      <c:catAx>
        <c:axId val="149668499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6685823"/>
        <c:crosses val="autoZero"/>
        <c:auto val="1"/>
        <c:lblAlgn val="ctr"/>
        <c:lblOffset val="100"/>
        <c:noMultiLvlLbl val="0"/>
      </c:catAx>
      <c:valAx>
        <c:axId val="1496685823"/>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9668499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b="0" i="0" u="none" strike="noStrike" baseline="0">
                <a:effectLst/>
              </a:rPr>
              <a:t>Environmental and local amenity </a:t>
            </a:r>
            <a:r>
              <a:rPr lang="en-AU" sz="1200" baseline="0"/>
              <a:t>over 40 years ($, NPV)</a:t>
            </a:r>
            <a:endParaRPr lang="en-AU"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0"/>
          <c:order val="0"/>
          <c:spPr>
            <a:solidFill>
              <a:srgbClr val="87FFC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benefits'!$B$32:$B$35</c:f>
              <c:strCache>
                <c:ptCount val="4"/>
                <c:pt idx="0">
                  <c:v>NPV GHG reduction from green infrastructure cooling and sequestration ($)</c:v>
                </c:pt>
                <c:pt idx="1">
                  <c:v>NPV Urban cooling health benefit ($)</c:v>
                </c:pt>
                <c:pt idx="2">
                  <c:v>NPV Clean air benefit ($)</c:v>
                </c:pt>
                <c:pt idx="3">
                  <c:v>NPV Total environmental and energy benefit ($)</c:v>
                </c:pt>
              </c:strCache>
            </c:strRef>
          </c:cat>
          <c:val>
            <c:numRef>
              <c:f>'Summary benefits'!$L$32:$L$35</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6E55-4371-B654-88C63AE36B16}"/>
            </c:ext>
          </c:extLst>
        </c:ser>
        <c:dLbls>
          <c:showLegendKey val="0"/>
          <c:showVal val="0"/>
          <c:showCatName val="0"/>
          <c:showSerName val="0"/>
          <c:showPercent val="0"/>
          <c:showBubbleSize val="0"/>
        </c:dLbls>
        <c:gapWidth val="219"/>
        <c:overlap val="-27"/>
        <c:axId val="1217591151"/>
        <c:axId val="1217589071"/>
      </c:barChart>
      <c:catAx>
        <c:axId val="121759115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7589071"/>
        <c:crosses val="autoZero"/>
        <c:auto val="1"/>
        <c:lblAlgn val="ctr"/>
        <c:lblOffset val="100"/>
        <c:noMultiLvlLbl val="0"/>
      </c:catAx>
      <c:valAx>
        <c:axId val="1217589071"/>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759115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US" sz="1200"/>
              <a:t>Cost of living relief, nominal</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B1C7F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benefits'!$J$1:$L$1</c:f>
              <c:strCache>
                <c:ptCount val="3"/>
                <c:pt idx="0">
                  <c:v>Average per dwell, per annum (40)</c:v>
                </c:pt>
                <c:pt idx="1">
                  <c:v>Average per annum (40)</c:v>
                </c:pt>
                <c:pt idx="2">
                  <c:v>Total over 40 years</c:v>
                </c:pt>
              </c:strCache>
            </c:strRef>
          </c:cat>
          <c:val>
            <c:numRef>
              <c:f>'Summary benefits'!$J$43:$L$43</c:f>
              <c:numCache>
                <c:formatCode>_-"$"* #,##0_-;\-"$"* #,##0_-;_-"$"* "-"??_-;_-@_-</c:formatCode>
                <c:ptCount val="3"/>
                <c:pt idx="0">
                  <c:v>0</c:v>
                </c:pt>
                <c:pt idx="1">
                  <c:v>0</c:v>
                </c:pt>
                <c:pt idx="2">
                  <c:v>0</c:v>
                </c:pt>
              </c:numCache>
            </c:numRef>
          </c:val>
          <c:extLst>
            <c:ext xmlns:c16="http://schemas.microsoft.com/office/drawing/2014/chart" uri="{C3380CC4-5D6E-409C-BE32-E72D297353CC}">
              <c16:uniqueId val="{00000000-44BF-4F53-A359-6FD1BD6A7658}"/>
            </c:ext>
          </c:extLst>
        </c:ser>
        <c:dLbls>
          <c:showLegendKey val="0"/>
          <c:showVal val="0"/>
          <c:showCatName val="0"/>
          <c:showSerName val="0"/>
          <c:showPercent val="0"/>
          <c:showBubbleSize val="0"/>
        </c:dLbls>
        <c:gapWidth val="219"/>
        <c:overlap val="-27"/>
        <c:axId val="464289936"/>
        <c:axId val="464292432"/>
      </c:barChart>
      <c:catAx>
        <c:axId val="46428993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4292432"/>
        <c:crosses val="autoZero"/>
        <c:auto val="1"/>
        <c:lblAlgn val="ctr"/>
        <c:lblOffset val="100"/>
        <c:noMultiLvlLbl val="0"/>
      </c:catAx>
      <c:valAx>
        <c:axId val="464292432"/>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42899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Cost of living relief, NPV</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B7B9F8"/>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benefits'!$J$1:$L$1</c:f>
              <c:strCache>
                <c:ptCount val="3"/>
                <c:pt idx="0">
                  <c:v>Average per dwell, per annum (40)</c:v>
                </c:pt>
                <c:pt idx="1">
                  <c:v>Average per annum (40)</c:v>
                </c:pt>
                <c:pt idx="2">
                  <c:v>Total over 40 years</c:v>
                </c:pt>
              </c:strCache>
            </c:strRef>
          </c:cat>
          <c:val>
            <c:numRef>
              <c:f>'Summary benefits'!$J$45:$L$45</c:f>
              <c:numCache>
                <c:formatCode>_-"$"* #,##0_-;\-"$"* #,##0_-;_-"$"* "-"??_-;_-@_-</c:formatCode>
                <c:ptCount val="3"/>
                <c:pt idx="0">
                  <c:v>0</c:v>
                </c:pt>
                <c:pt idx="1">
                  <c:v>0</c:v>
                </c:pt>
                <c:pt idx="2">
                  <c:v>0</c:v>
                </c:pt>
              </c:numCache>
            </c:numRef>
          </c:val>
          <c:extLst>
            <c:ext xmlns:c16="http://schemas.microsoft.com/office/drawing/2014/chart" uri="{C3380CC4-5D6E-409C-BE32-E72D297353CC}">
              <c16:uniqueId val="{00000000-9828-46B5-B97D-1BC6A0FEA6ED}"/>
            </c:ext>
          </c:extLst>
        </c:ser>
        <c:dLbls>
          <c:showLegendKey val="0"/>
          <c:showVal val="0"/>
          <c:showCatName val="0"/>
          <c:showSerName val="0"/>
          <c:showPercent val="0"/>
          <c:showBubbleSize val="0"/>
        </c:dLbls>
        <c:gapWidth val="219"/>
        <c:overlap val="-27"/>
        <c:axId val="464293680"/>
        <c:axId val="464284944"/>
      </c:barChart>
      <c:catAx>
        <c:axId val="4642936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4284944"/>
        <c:crosses val="autoZero"/>
        <c:auto val="1"/>
        <c:lblAlgn val="ctr"/>
        <c:lblOffset val="100"/>
        <c:noMultiLvlLbl val="0"/>
      </c:catAx>
      <c:valAx>
        <c:axId val="46428494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642936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b="0" i="0" baseline="0">
                <a:effectLst/>
              </a:rPr>
              <a:t>Environmental and local amenity benefits over 40 years ($)</a:t>
            </a:r>
            <a:endParaRPr lang="en-AU" sz="1200">
              <a:effectLst/>
            </a:endParaRP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0"/>
          <c:order val="0"/>
          <c:spPr>
            <a:solidFill>
              <a:srgbClr val="87FFC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benefits'!$B$24,'Summary benefits'!$B$21,'Summary benefits'!$B$16,'Summary benefits'!$B$26)</c:f>
              <c:strCache>
                <c:ptCount val="4"/>
                <c:pt idx="0">
                  <c:v>GHG reduction from green infrastructure cooling and sequestration ($) </c:v>
                </c:pt>
                <c:pt idx="1">
                  <c:v>Health benefit from green infrastructure cooling ($)</c:v>
                </c:pt>
                <c:pt idx="2">
                  <c:v>Clean air benefit from green infrastructure ($)</c:v>
                </c:pt>
                <c:pt idx="3">
                  <c:v>Total environmental and local amenity inputs ($)</c:v>
                </c:pt>
              </c:strCache>
            </c:strRef>
          </c:cat>
          <c:val>
            <c:numRef>
              <c:f>('Summary benefits'!$L$24,'Summary benefits'!$L$21,'Summary benefits'!$L$16,'Summary benefits'!$L$26)</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7999-4D71-B946-6CFA281511A7}"/>
            </c:ext>
          </c:extLst>
        </c:ser>
        <c:dLbls>
          <c:showLegendKey val="0"/>
          <c:showVal val="0"/>
          <c:showCatName val="0"/>
          <c:showSerName val="0"/>
          <c:showPercent val="0"/>
          <c:showBubbleSize val="0"/>
        </c:dLbls>
        <c:gapWidth val="219"/>
        <c:overlap val="-27"/>
        <c:axId val="384762463"/>
        <c:axId val="384765791"/>
      </c:barChart>
      <c:catAx>
        <c:axId val="384762463"/>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4765791"/>
        <c:crosses val="autoZero"/>
        <c:auto val="1"/>
        <c:lblAlgn val="ctr"/>
        <c:lblOffset val="100"/>
        <c:noMultiLvlLbl val="0"/>
      </c:catAx>
      <c:valAx>
        <c:axId val="384765791"/>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847624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Combined monetised benefits, nominal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52DB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benefits'!$J$1:$L$1</c:f>
              <c:strCache>
                <c:ptCount val="3"/>
                <c:pt idx="0">
                  <c:v>Average per dwell, per annum (40)</c:v>
                </c:pt>
                <c:pt idx="1">
                  <c:v>Average per annum (40)</c:v>
                </c:pt>
                <c:pt idx="2">
                  <c:v>Total over 40 years</c:v>
                </c:pt>
              </c:strCache>
            </c:strRef>
          </c:cat>
          <c:val>
            <c:numRef>
              <c:f>'Summary benefits'!$J$37:$L$37</c:f>
              <c:numCache>
                <c:formatCode>_-"$"* #,##0_-;\-"$"* #,##0_-;_-"$"* "-"??_-;_-@_-</c:formatCode>
                <c:ptCount val="3"/>
                <c:pt idx="0">
                  <c:v>0</c:v>
                </c:pt>
                <c:pt idx="1">
                  <c:v>0</c:v>
                </c:pt>
                <c:pt idx="2">
                  <c:v>0</c:v>
                </c:pt>
              </c:numCache>
            </c:numRef>
          </c:val>
          <c:extLst>
            <c:ext xmlns:c16="http://schemas.microsoft.com/office/drawing/2014/chart" uri="{C3380CC4-5D6E-409C-BE32-E72D297353CC}">
              <c16:uniqueId val="{00000000-65DF-4D24-9E7E-5DDC8E781373}"/>
            </c:ext>
          </c:extLst>
        </c:ser>
        <c:dLbls>
          <c:showLegendKey val="0"/>
          <c:showVal val="0"/>
          <c:showCatName val="0"/>
          <c:showSerName val="0"/>
          <c:showPercent val="0"/>
          <c:showBubbleSize val="0"/>
        </c:dLbls>
        <c:gapWidth val="219"/>
        <c:overlap val="-27"/>
        <c:axId val="724257968"/>
        <c:axId val="724252976"/>
      </c:barChart>
      <c:catAx>
        <c:axId val="72425796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252976"/>
        <c:crosses val="autoZero"/>
        <c:auto val="1"/>
        <c:lblAlgn val="ctr"/>
        <c:lblOffset val="100"/>
        <c:noMultiLvlLbl val="0"/>
      </c:catAx>
      <c:valAx>
        <c:axId val="724252976"/>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425796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Combined monetised benefits, NPV</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52DBFF"/>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benefits'!$J$1:$L$1</c:f>
              <c:strCache>
                <c:ptCount val="3"/>
                <c:pt idx="0">
                  <c:v>Average per dwell, per annum (40)</c:v>
                </c:pt>
                <c:pt idx="1">
                  <c:v>Average per annum (40)</c:v>
                </c:pt>
                <c:pt idx="2">
                  <c:v>Total over 40 years</c:v>
                </c:pt>
              </c:strCache>
            </c:strRef>
          </c:cat>
          <c:val>
            <c:numRef>
              <c:f>'Summary benefits'!$J$38:$L$38</c:f>
              <c:numCache>
                <c:formatCode>_("$"* #,##0.00_);_("$"* \(#,##0.00\);_("$"* "-"??_);_(@_)</c:formatCode>
                <c:ptCount val="3"/>
                <c:pt idx="0" formatCode="_-&quot;$&quot;* #,##0_-;\-&quot;$&quot;* #,##0_-;_-&quot;$&quot;* &quot;-&quot;??_-;_-@_-">
                  <c:v>0</c:v>
                </c:pt>
                <c:pt idx="1">
                  <c:v>0</c:v>
                </c:pt>
                <c:pt idx="2" formatCode="_-&quot;$&quot;* #,##0_-;\-&quot;$&quot;* #,##0_-;_-&quot;$&quot;* &quot;-&quot;??_-;_-@_-">
                  <c:v>0</c:v>
                </c:pt>
              </c:numCache>
            </c:numRef>
          </c:val>
          <c:extLst>
            <c:ext xmlns:c16="http://schemas.microsoft.com/office/drawing/2014/chart" uri="{C3380CC4-5D6E-409C-BE32-E72D297353CC}">
              <c16:uniqueId val="{00000000-F064-45A1-9B4E-42526901292D}"/>
            </c:ext>
          </c:extLst>
        </c:ser>
        <c:dLbls>
          <c:showLegendKey val="0"/>
          <c:showVal val="0"/>
          <c:showCatName val="0"/>
          <c:showSerName val="0"/>
          <c:showPercent val="0"/>
          <c:showBubbleSize val="0"/>
        </c:dLbls>
        <c:gapWidth val="219"/>
        <c:overlap val="-27"/>
        <c:axId val="867772208"/>
        <c:axId val="867776784"/>
      </c:barChart>
      <c:catAx>
        <c:axId val="867772208"/>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7776784"/>
        <c:crosses val="autoZero"/>
        <c:auto val="1"/>
        <c:lblAlgn val="ctr"/>
        <c:lblOffset val="100"/>
        <c:noMultiLvlLbl val="0"/>
      </c:catAx>
      <c:valAx>
        <c:axId val="867776784"/>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7772208"/>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Energy and GHG sequestration abatement</a:t>
            </a:r>
            <a:r>
              <a:rPr lang="en-AU" sz="1200" baseline="0"/>
              <a:t> (tons)</a:t>
            </a:r>
            <a:endParaRPr lang="en-AU"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0"/>
          <c:order val="0"/>
          <c:spPr>
            <a:solidFill>
              <a:srgbClr val="87FFC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'Green Infrastructure'!$K$72:$K$74</c:f>
              <c:strCache>
                <c:ptCount val="3"/>
                <c:pt idx="0">
                  <c:v>Energy and GHG sequestration CO2 abatement, per dwelling, per year</c:v>
                </c:pt>
                <c:pt idx="1">
                  <c:v>Energy and GHG sequestration CO2 abatement, per year</c:v>
                </c:pt>
                <c:pt idx="2">
                  <c:v>Energy and GHG sequestration CO2 abatemenet, 40 years</c:v>
                </c:pt>
              </c:strCache>
            </c:strRef>
          </c:cat>
          <c:val>
            <c:numRef>
              <c:f>'Summary benefits'!$J$23:$L$23</c:f>
              <c:numCache>
                <c:formatCode>0.00</c:formatCode>
                <c:ptCount val="3"/>
                <c:pt idx="0">
                  <c:v>0</c:v>
                </c:pt>
                <c:pt idx="1">
                  <c:v>0</c:v>
                </c:pt>
                <c:pt idx="2">
                  <c:v>0</c:v>
                </c:pt>
              </c:numCache>
            </c:numRef>
          </c:val>
          <c:extLst>
            <c:ext xmlns:c16="http://schemas.microsoft.com/office/drawing/2014/chart" uri="{C3380CC4-5D6E-409C-BE32-E72D297353CC}">
              <c16:uniqueId val="{00000000-A053-40E6-9F97-60ABD9CD453F}"/>
            </c:ext>
          </c:extLst>
        </c:ser>
        <c:dLbls>
          <c:showLegendKey val="0"/>
          <c:showVal val="0"/>
          <c:showCatName val="0"/>
          <c:showSerName val="0"/>
          <c:showPercent val="0"/>
          <c:showBubbleSize val="0"/>
        </c:dLbls>
        <c:gapWidth val="219"/>
        <c:overlap val="-27"/>
        <c:axId val="786465871"/>
        <c:axId val="786468271"/>
      </c:barChart>
      <c:catAx>
        <c:axId val="786465871"/>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468271"/>
        <c:crosses val="autoZero"/>
        <c:auto val="1"/>
        <c:lblAlgn val="ctr"/>
        <c:lblOffset val="100"/>
        <c:noMultiLvlLbl val="0"/>
      </c:catAx>
      <c:valAx>
        <c:axId val="786468271"/>
        <c:scaling>
          <c:orientation val="minMax"/>
        </c:scaling>
        <c:delete val="0"/>
        <c:axPos val="l"/>
        <c:majorGridlines>
          <c:spPr>
            <a:ln w="9525" cap="flat" cmpd="sng" algn="ctr">
              <a:solidFill>
                <a:schemeClr val="tx1">
                  <a:lumMod val="15000"/>
                  <a:lumOff val="85000"/>
                </a:schemeClr>
              </a:solidFill>
              <a:round/>
            </a:ln>
            <a:effectLst/>
          </c:spPr>
        </c:majorGridlines>
        <c:numFmt formatCode="#,##0_ ;\-#,##0\ "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646587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AU"/>
              <a:t>Annual environmental</a:t>
            </a:r>
            <a:r>
              <a:rPr lang="en-AU" baseline="0"/>
              <a:t> and local amenity ($)</a:t>
            </a:r>
            <a:endParaRPr lang="en-AU"/>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AU"/>
        </a:p>
      </c:txPr>
    </c:title>
    <c:autoTitleDeleted val="0"/>
    <c:plotArea>
      <c:layout/>
      <c:barChart>
        <c:barDir val="col"/>
        <c:grouping val="clustered"/>
        <c:varyColors val="0"/>
        <c:ser>
          <c:idx val="0"/>
          <c:order val="0"/>
          <c:spPr>
            <a:solidFill>
              <a:srgbClr val="87FFC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benefits'!$B$16,'Summary benefits'!$B$21,'Summary benefits'!$B$24,'Summary benefits'!$B$26)</c:f>
              <c:strCache>
                <c:ptCount val="4"/>
                <c:pt idx="0">
                  <c:v>Clean air benefit from green infrastructure ($)</c:v>
                </c:pt>
                <c:pt idx="1">
                  <c:v>Health benefit from green infrastructure cooling ($)</c:v>
                </c:pt>
                <c:pt idx="2">
                  <c:v>GHG reduction from green infrastructure cooling and sequestration ($) </c:v>
                </c:pt>
                <c:pt idx="3">
                  <c:v>Total environmental and local amenity inputs ($)</c:v>
                </c:pt>
              </c:strCache>
            </c:strRef>
          </c:cat>
          <c:val>
            <c:numRef>
              <c:f>('Summary benefits'!$K$16,'Summary benefits'!$K$21,'Summary benefits'!$K$24,'Summary benefits'!$K$26)</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65E2-4B95-A1AD-7FC8ECBC9CC8}"/>
            </c:ext>
          </c:extLst>
        </c:ser>
        <c:dLbls>
          <c:showLegendKey val="0"/>
          <c:showVal val="0"/>
          <c:showCatName val="0"/>
          <c:showSerName val="0"/>
          <c:showPercent val="0"/>
          <c:showBubbleSize val="0"/>
        </c:dLbls>
        <c:gapWidth val="219"/>
        <c:overlap val="-27"/>
        <c:axId val="1104355551"/>
        <c:axId val="1104356991"/>
      </c:barChart>
      <c:catAx>
        <c:axId val="1104355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4356991"/>
        <c:crosses val="autoZero"/>
        <c:auto val="1"/>
        <c:lblAlgn val="ctr"/>
        <c:lblOffset val="100"/>
        <c:noMultiLvlLbl val="0"/>
      </c:catAx>
      <c:valAx>
        <c:axId val="1104356991"/>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043555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AU" sz="1200"/>
              <a:t>Annual</a:t>
            </a:r>
            <a:r>
              <a:rPr lang="en-AU" sz="1200" baseline="0"/>
              <a:t> per dwelling environmental and local amenity ($)</a:t>
            </a:r>
          </a:p>
          <a:p>
            <a:pPr>
              <a:defRPr sz="1200"/>
            </a:pPr>
            <a:endParaRPr lang="en-AU" sz="1200"/>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87FFC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 benefits'!$B$16,'Summary benefits'!$B$21,'Summary benefits'!$B$24,'Summary benefits'!$B$26)</c:f>
              <c:strCache>
                <c:ptCount val="4"/>
                <c:pt idx="0">
                  <c:v>Clean air benefit from green infrastructure ($)</c:v>
                </c:pt>
                <c:pt idx="1">
                  <c:v>Health benefit from green infrastructure cooling ($)</c:v>
                </c:pt>
                <c:pt idx="2">
                  <c:v>GHG reduction from green infrastructure cooling and sequestration ($) </c:v>
                </c:pt>
                <c:pt idx="3">
                  <c:v>Total environmental and local amenity inputs ($)</c:v>
                </c:pt>
              </c:strCache>
            </c:strRef>
          </c:cat>
          <c:val>
            <c:numRef>
              <c:f>('Summary benefits'!$J$16,'Summary benefits'!$J$21,'Summary benefits'!$J$24,'Summary benefits'!$J$26)</c:f>
              <c:numCache>
                <c:formatCode>_-"$"* #,##0_-;\-"$"* #,##0_-;_-"$"* "-"??_-;_-@_-</c:formatCode>
                <c:ptCount val="4"/>
                <c:pt idx="0">
                  <c:v>0</c:v>
                </c:pt>
                <c:pt idx="1">
                  <c:v>0</c:v>
                </c:pt>
                <c:pt idx="2">
                  <c:v>0</c:v>
                </c:pt>
                <c:pt idx="3">
                  <c:v>0</c:v>
                </c:pt>
              </c:numCache>
            </c:numRef>
          </c:val>
          <c:extLst>
            <c:ext xmlns:c16="http://schemas.microsoft.com/office/drawing/2014/chart" uri="{C3380CC4-5D6E-409C-BE32-E72D297353CC}">
              <c16:uniqueId val="{00000000-3017-427B-97BD-E495D127D635}"/>
            </c:ext>
          </c:extLst>
        </c:ser>
        <c:dLbls>
          <c:showLegendKey val="0"/>
          <c:showVal val="0"/>
          <c:showCatName val="0"/>
          <c:showSerName val="0"/>
          <c:showPercent val="0"/>
          <c:showBubbleSize val="0"/>
        </c:dLbls>
        <c:gapWidth val="219"/>
        <c:overlap val="-27"/>
        <c:axId val="294524447"/>
        <c:axId val="294524927"/>
      </c:barChart>
      <c:catAx>
        <c:axId val="29452444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4524927"/>
        <c:crosses val="autoZero"/>
        <c:auto val="1"/>
        <c:lblAlgn val="ctr"/>
        <c:lblOffset val="100"/>
        <c:noMultiLvlLbl val="0"/>
      </c:catAx>
      <c:valAx>
        <c:axId val="294524927"/>
        <c:scaling>
          <c:orientation val="minMax"/>
        </c:scaling>
        <c:delete val="0"/>
        <c:axPos val="l"/>
        <c:majorGridlines>
          <c:spPr>
            <a:ln w="9525" cap="flat" cmpd="sng" algn="ctr">
              <a:solidFill>
                <a:schemeClr val="tx1">
                  <a:lumMod val="15000"/>
                  <a:lumOff val="85000"/>
                </a:schemeClr>
              </a:solidFill>
              <a:round/>
            </a:ln>
            <a:effectLst/>
          </c:spPr>
        </c:majorGridlines>
        <c:numFmt formatCode="_-&quot;$&quot;* #,##0_-;\-&quot;$&quot;* #,##0_-;_-&quot;$&quot;*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9452444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14</xdr:col>
      <xdr:colOff>164354</xdr:colOff>
      <xdr:row>25</xdr:row>
      <xdr:rowOff>328706</xdr:rowOff>
    </xdr:from>
    <xdr:to>
      <xdr:col>23</xdr:col>
      <xdr:colOff>513006</xdr:colOff>
      <xdr:row>41</xdr:row>
      <xdr:rowOff>134844</xdr:rowOff>
    </xdr:to>
    <xdr:pic>
      <xdr:nvPicPr>
        <xdr:cNvPr id="17" name="Picture 16">
          <a:extLst>
            <a:ext uri="{FF2B5EF4-FFF2-40B4-BE49-F238E27FC236}">
              <a16:creationId xmlns:a16="http://schemas.microsoft.com/office/drawing/2014/main" id="{EADC633F-F37F-96B0-B94B-DF43536015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995648" y="7515412"/>
          <a:ext cx="6667500" cy="3251200"/>
        </a:xfrm>
        <a:prstGeom prst="rect">
          <a:avLst/>
        </a:prstGeom>
      </xdr:spPr>
    </xdr:pic>
    <xdr:clientData/>
  </xdr:twoCellAnchor>
  <xdr:twoCellAnchor editAs="oneCell">
    <xdr:from>
      <xdr:col>0</xdr:col>
      <xdr:colOff>179293</xdr:colOff>
      <xdr:row>43</xdr:row>
      <xdr:rowOff>179295</xdr:rowOff>
    </xdr:from>
    <xdr:to>
      <xdr:col>11</xdr:col>
      <xdr:colOff>57099</xdr:colOff>
      <xdr:row>52</xdr:row>
      <xdr:rowOff>19460</xdr:rowOff>
    </xdr:to>
    <xdr:pic>
      <xdr:nvPicPr>
        <xdr:cNvPr id="5" name="Picture 4">
          <a:extLst>
            <a:ext uri="{FF2B5EF4-FFF2-40B4-BE49-F238E27FC236}">
              <a16:creationId xmlns:a16="http://schemas.microsoft.com/office/drawing/2014/main" id="{52D4C210-9910-9FBE-CBEB-EDED72FAC5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9293" y="11060207"/>
          <a:ext cx="6535370" cy="1546410"/>
        </a:xfrm>
        <a:prstGeom prst="rect">
          <a:avLst/>
        </a:prstGeom>
      </xdr:spPr>
    </xdr:pic>
    <xdr:clientData/>
  </xdr:twoCellAnchor>
  <xdr:twoCellAnchor>
    <xdr:from>
      <xdr:col>1</xdr:col>
      <xdr:colOff>7881</xdr:colOff>
      <xdr:row>26</xdr:row>
      <xdr:rowOff>222209</xdr:rowOff>
    </xdr:from>
    <xdr:to>
      <xdr:col>13</xdr:col>
      <xdr:colOff>283956</xdr:colOff>
      <xdr:row>45</xdr:row>
      <xdr:rowOff>104774</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636531" y="7451684"/>
          <a:ext cx="7819875" cy="3521115"/>
        </a:xfrm>
        <a:prstGeom prst="rect">
          <a:avLst/>
        </a:prstGeom>
        <a:solidFill>
          <a:schemeClr val="bg1">
            <a:lumMod val="9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182880" tIns="182880" rIns="182880" bIns="182880" rtlCol="0" anchor="t"/>
        <a:lstStyle/>
        <a:p>
          <a:r>
            <a:rPr lang="en-AU" sz="1100" b="1"/>
            <a:t>SIGMAH</a:t>
          </a:r>
          <a:r>
            <a:rPr lang="en-AU" sz="1100"/>
            <a:t> (v.1.1)						</a:t>
          </a:r>
          <a:br>
            <a:rPr lang="en-AU" sz="1100"/>
          </a:br>
          <a:r>
            <a:rPr lang="en-AU" sz="1100"/>
            <a:t>SIGMAH was researched and designed and developed</a:t>
          </a:r>
          <a:r>
            <a:rPr lang="en-AU" sz="1100" baseline="0"/>
            <a:t> by:</a:t>
          </a:r>
          <a:endParaRPr lang="en-AU" sz="1100"/>
        </a:p>
        <a:p>
          <a:r>
            <a:rPr lang="en-AU" sz="1100"/>
            <a:t>Prof Christian Nygaard - Centre for Urban Transitions, Swinburne University of Technology</a:t>
          </a:r>
        </a:p>
        <a:p>
          <a:r>
            <a:rPr lang="en-AU" sz="1100"/>
            <a:t>Dr</a:t>
          </a:r>
          <a:r>
            <a:rPr lang="en-AU" sz="1100" baseline="0"/>
            <a:t> Trevor Kollmann - Centre for Transformative Innovation, Swinburne University of Technology</a:t>
          </a:r>
        </a:p>
        <a:p>
          <a:endParaRPr lang="en-AU" sz="1100" baseline="0"/>
        </a:p>
        <a:p>
          <a:r>
            <a:rPr lang="en-AU" sz="1100" baseline="0"/>
            <a:t>Assistance was provided by:</a:t>
          </a:r>
        </a:p>
        <a:p>
          <a:r>
            <a:rPr lang="en-AU" sz="1100" baseline="0"/>
            <a:t>Dr Stephen Glackin - Centre for Urban Transitions, Swinburne University of Technology</a:t>
          </a:r>
        </a:p>
        <a:p>
          <a:r>
            <a:rPr lang="en-AU" sz="1100" baseline="0"/>
            <a:t>Dr Kate O'Grady - Department of Trade and Engineering Technology, PAVE Division, Swinburne University of Technology</a:t>
          </a:r>
        </a:p>
        <a:p>
          <a:endParaRPr lang="en-AU" sz="1100" baseline="0"/>
        </a:p>
        <a:p>
          <a:pPr algn="l"/>
          <a:r>
            <a:rPr lang="en-AU" sz="1100" baseline="0">
              <a:solidFill>
                <a:schemeClr val="dk1"/>
              </a:solidFill>
              <a:effectLst/>
              <a:latin typeface="+mn-lt"/>
              <a:ea typeface="+mn-ea"/>
              <a:cs typeface="+mn-cs"/>
            </a:rPr>
            <a:t>Data inputs were also provided by:		</a:t>
          </a:r>
          <a:br>
            <a:rPr lang="en-AU" sz="1100" baseline="0">
              <a:solidFill>
                <a:schemeClr val="dk1"/>
              </a:solidFill>
              <a:effectLst/>
              <a:latin typeface="+mn-lt"/>
              <a:ea typeface="+mn-ea"/>
              <a:cs typeface="+mn-cs"/>
            </a:rPr>
          </a:br>
          <a:r>
            <a:rPr lang="en-AU" sz="1100" baseline="0">
              <a:solidFill>
                <a:schemeClr val="dk1"/>
              </a:solidFill>
              <a:effectLst/>
              <a:latin typeface="+mn-lt"/>
              <a:ea typeface="+mn-ea"/>
              <a:cs typeface="+mn-cs"/>
            </a:rPr>
            <a:t>Australian Social Value Bank			</a:t>
          </a:r>
          <a:br>
            <a:rPr lang="en-AU" sz="1100" baseline="0">
              <a:solidFill>
                <a:schemeClr val="dk1"/>
              </a:solidFill>
              <a:effectLst/>
              <a:latin typeface="+mn-lt"/>
              <a:ea typeface="+mn-ea"/>
              <a:cs typeface="+mn-cs"/>
            </a:rPr>
          </a:br>
          <a:r>
            <a:rPr lang="en-AU" sz="1100" b="0" i="0" u="none" strike="noStrike">
              <a:solidFill>
                <a:schemeClr val="dk1"/>
              </a:solidFill>
              <a:effectLst/>
              <a:latin typeface="+mn-lt"/>
              <a:ea typeface="+mn-ea"/>
              <a:cs typeface="+mn-cs"/>
            </a:rPr>
            <a:t>they are owned by Alliance Social Enterprises		</a:t>
          </a:r>
          <a:br>
            <a:rPr lang="en-AU" sz="1100" b="0" i="0" u="none" strike="noStrike">
              <a:solidFill>
                <a:schemeClr val="dk1"/>
              </a:solidFill>
              <a:effectLst/>
              <a:latin typeface="+mn-lt"/>
              <a:ea typeface="+mn-ea"/>
              <a:cs typeface="+mn-cs"/>
            </a:rPr>
          </a:br>
          <a:r>
            <a:rPr lang="en-AU" sz="1100" b="0" i="0" u="none" strike="noStrike">
              <a:solidFill>
                <a:schemeClr val="dk1"/>
              </a:solidFill>
              <a:effectLst/>
              <a:latin typeface="+mn-lt"/>
              <a:ea typeface="+mn-ea"/>
              <a:cs typeface="+mn-cs"/>
            </a:rPr>
            <a:t>(</a:t>
          </a:r>
          <a:r>
            <a:rPr lang="en-AU" sz="1100" b="0" i="0" u="sng">
              <a:solidFill>
                <a:schemeClr val="dk1"/>
              </a:solidFill>
              <a:effectLst/>
              <a:latin typeface="+mn-lt"/>
              <a:ea typeface="+mn-ea"/>
              <a:cs typeface="+mn-cs"/>
              <a:hlinkClick xmlns:r="http://schemas.openxmlformats.org/officeDocument/2006/relationships" r:id=""/>
            </a:rPr>
            <a:t>www.asvb.com.au</a:t>
          </a:r>
          <a:r>
            <a:rPr lang="en-AU" sz="1100" b="0" i="0" u="none" strike="noStrike">
              <a:solidFill>
                <a:schemeClr val="dk1"/>
              </a:solidFill>
              <a:effectLst/>
              <a:latin typeface="+mn-lt"/>
              <a:ea typeface="+mn-ea"/>
              <a:cs typeface="+mn-cs"/>
            </a:rPr>
            <a:t>)			</a:t>
          </a:r>
          <a:br>
            <a:rPr lang="en-AU" sz="1100" b="0" i="0" u="none" strike="noStrike">
              <a:solidFill>
                <a:schemeClr val="dk1"/>
              </a:solidFill>
              <a:effectLst/>
              <a:latin typeface="+mn-lt"/>
              <a:ea typeface="+mn-ea"/>
              <a:cs typeface="+mn-cs"/>
            </a:rPr>
          </a:br>
          <a:r>
            <a:rPr lang="en-AU" sz="1100" b="0" i="0" u="none" strike="noStrike">
              <a:solidFill>
                <a:schemeClr val="dk1"/>
              </a:solidFill>
              <a:effectLst/>
              <a:latin typeface="+mn-lt"/>
              <a:ea typeface="+mn-ea"/>
              <a:cs typeface="+mn-cs"/>
            </a:rPr>
            <a:t>and produced by </a:t>
          </a:r>
          <a:r>
            <a:rPr lang="en-AU" sz="1100" baseline="0">
              <a:solidFill>
                <a:schemeClr val="dk1"/>
              </a:solidFill>
              <a:effectLst/>
              <a:latin typeface="+mn-lt"/>
              <a:ea typeface="+mn-ea"/>
              <a:cs typeface="+mn-cs"/>
            </a:rPr>
            <a:t>Simetrica-Jacobs 		</a:t>
          </a:r>
          <a:br>
            <a:rPr lang="en-AU" sz="1100" baseline="0">
              <a:solidFill>
                <a:schemeClr val="dk1"/>
              </a:solidFill>
              <a:effectLst/>
              <a:latin typeface="+mn-lt"/>
              <a:ea typeface="+mn-ea"/>
              <a:cs typeface="+mn-cs"/>
            </a:rPr>
          </a:br>
          <a:r>
            <a:rPr lang="en-AU" sz="1100" baseline="0">
              <a:solidFill>
                <a:schemeClr val="dk1"/>
              </a:solidFill>
              <a:effectLst/>
              <a:latin typeface="+mn-lt"/>
              <a:ea typeface="+mn-ea"/>
              <a:cs typeface="+mn-cs"/>
            </a:rPr>
            <a:t>These values are used under license:		</a:t>
          </a:r>
          <a:br>
            <a:rPr lang="en-AU" sz="1100" baseline="0">
              <a:solidFill>
                <a:schemeClr val="dk1"/>
              </a:solidFill>
              <a:effectLst/>
              <a:latin typeface="+mn-lt"/>
              <a:ea typeface="+mn-ea"/>
              <a:cs typeface="+mn-cs"/>
            </a:rPr>
          </a:br>
          <a:r>
            <a:rPr lang="en-AU" sz="1100" b="0" i="0" u="none" strike="noStrike">
              <a:solidFill>
                <a:schemeClr val="dk1"/>
              </a:solidFill>
              <a:effectLst/>
              <a:latin typeface="+mn-lt"/>
              <a:ea typeface="+mn-ea"/>
              <a:cs typeface="+mn-cs"/>
            </a:rPr>
            <a:t>#</a:t>
          </a:r>
          <a:r>
            <a:rPr lang="en-AU" sz="1100" b="1" i="0" u="none" strike="noStrike">
              <a:solidFill>
                <a:schemeClr val="dk1"/>
              </a:solidFill>
              <a:effectLst/>
              <a:latin typeface="+mn-lt"/>
              <a:ea typeface="+mn-ea"/>
              <a:cs typeface="+mn-cs"/>
            </a:rPr>
            <a:t>M8Ved5</a:t>
          </a:r>
          <a:r>
            <a:rPr lang="en-AU" sz="1100" b="0" i="0" u="none" strike="noStrike">
              <a:solidFill>
                <a:schemeClr val="dk1"/>
              </a:solidFill>
              <a:effectLst/>
              <a:latin typeface="+mn-lt"/>
              <a:ea typeface="+mn-ea"/>
              <a:cs typeface="+mn-cs"/>
            </a:rPr>
            <a:t> with expiry date </a:t>
          </a:r>
          <a:r>
            <a:rPr lang="en-AU" sz="1100" b="1" i="0" u="none" strike="noStrike">
              <a:solidFill>
                <a:schemeClr val="dk1"/>
              </a:solidFill>
              <a:effectLst/>
              <a:latin typeface="+mn-lt"/>
              <a:ea typeface="+mn-ea"/>
              <a:cs typeface="+mn-cs"/>
            </a:rPr>
            <a:t>4/10/24</a:t>
          </a:r>
          <a:r>
            <a:rPr lang="en-AU" sz="1100" baseline="0">
              <a:solidFill>
                <a:schemeClr val="dk1"/>
              </a:solidFill>
              <a:effectLst/>
              <a:latin typeface="+mn-lt"/>
              <a:ea typeface="+mn-ea"/>
              <a:cs typeface="+mn-cs"/>
            </a:rPr>
            <a:t>		</a:t>
          </a:r>
          <a:endParaRPr lang="en-AU">
            <a:effectLst/>
          </a:endParaRPr>
        </a:p>
        <a:p>
          <a:r>
            <a:rPr lang="en-AU" sz="1100" baseline="0">
              <a:solidFill>
                <a:schemeClr val="dk1"/>
              </a:solidFill>
              <a:effectLst/>
              <a:latin typeface="+mn-lt"/>
              <a:ea typeface="+mn-ea"/>
              <a:cs typeface="+mn-cs"/>
            </a:rPr>
            <a:t>						</a:t>
          </a:r>
          <a:endParaRPr lang="en-AU">
            <a:effectLst/>
          </a:endParaRPr>
        </a:p>
      </xdr:txBody>
    </xdr:sp>
    <xdr:clientData/>
  </xdr:twoCellAnchor>
  <xdr:twoCellAnchor editAs="oneCell">
    <xdr:from>
      <xdr:col>0</xdr:col>
      <xdr:colOff>597646</xdr:colOff>
      <xdr:row>1</xdr:row>
      <xdr:rowOff>747059</xdr:rowOff>
    </xdr:from>
    <xdr:to>
      <xdr:col>4</xdr:col>
      <xdr:colOff>247015</xdr:colOff>
      <xdr:row>1</xdr:row>
      <xdr:rowOff>2784097</xdr:rowOff>
    </xdr:to>
    <xdr:pic>
      <xdr:nvPicPr>
        <xdr:cNvPr id="15" name="Picture 14">
          <a:extLst>
            <a:ext uri="{FF2B5EF4-FFF2-40B4-BE49-F238E27FC236}">
              <a16:creationId xmlns:a16="http://schemas.microsoft.com/office/drawing/2014/main" id="{09A78799-64C1-6EC3-6993-BC147923444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97646" y="747059"/>
          <a:ext cx="2465295" cy="2037038"/>
        </a:xfrm>
        <a:prstGeom prst="rect">
          <a:avLst/>
        </a:prstGeom>
      </xdr:spPr>
    </xdr:pic>
    <xdr:clientData/>
  </xdr:twoCellAnchor>
  <xdr:twoCellAnchor>
    <xdr:from>
      <xdr:col>1</xdr:col>
      <xdr:colOff>95250</xdr:colOff>
      <xdr:row>42</xdr:row>
      <xdr:rowOff>60959</xdr:rowOff>
    </xdr:from>
    <xdr:to>
      <xdr:col>9</xdr:col>
      <xdr:colOff>209550</xdr:colOff>
      <xdr:row>48</xdr:row>
      <xdr:rowOff>7619</xdr:rowOff>
    </xdr:to>
    <xdr:sp macro="" textlink="">
      <xdr:nvSpPr>
        <xdr:cNvPr id="2" name="TextBox 1">
          <a:extLst>
            <a:ext uri="{FF2B5EF4-FFF2-40B4-BE49-F238E27FC236}">
              <a16:creationId xmlns:a16="http://schemas.microsoft.com/office/drawing/2014/main" id="{EFF90399-D49A-15D7-D60A-BEDF62F25B66}"/>
            </a:ext>
          </a:extLst>
        </xdr:cNvPr>
        <xdr:cNvSpPr txBox="1"/>
      </xdr:nvSpPr>
      <xdr:spPr>
        <a:xfrm>
          <a:off x="723900" y="10386059"/>
          <a:ext cx="5143500" cy="10325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050" u="sng">
              <a:solidFill>
                <a:srgbClr val="0070C0"/>
              </a:solidFill>
            </a:rPr>
            <a:t>Please use the following citation to acknowledge SIGMAH</a:t>
          </a:r>
          <a:r>
            <a:rPr lang="en-AU" sz="1050">
              <a:solidFill>
                <a:srgbClr val="0070C0"/>
              </a:solidFill>
            </a:rPr>
            <a:t>:</a:t>
          </a:r>
        </a:p>
        <a:p>
          <a:r>
            <a:rPr lang="en-AU" sz="1050">
              <a:solidFill>
                <a:srgbClr val="0070C0"/>
              </a:solidFill>
            </a:rPr>
            <a:t>Nygaard, C. and Kollmann, T. (2025) SIGMAH - Social Infrastructure and Green Measures for Affordable</a:t>
          </a:r>
          <a:r>
            <a:rPr lang="en-AU" sz="1050" baseline="0">
              <a:solidFill>
                <a:srgbClr val="0070C0"/>
              </a:solidFill>
            </a:rPr>
            <a:t> Housing, v.1.1. Community Housing Industry Australia: Sydney.</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24</xdr:col>
      <xdr:colOff>593164</xdr:colOff>
      <xdr:row>0</xdr:row>
      <xdr:rowOff>114300</xdr:rowOff>
    </xdr:from>
    <xdr:to>
      <xdr:col>32</xdr:col>
      <xdr:colOff>355039</xdr:colOff>
      <xdr:row>15</xdr:row>
      <xdr:rowOff>0</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xdr:col>
      <xdr:colOff>326464</xdr:colOff>
      <xdr:row>0</xdr:row>
      <xdr:rowOff>114300</xdr:rowOff>
    </xdr:from>
    <xdr:to>
      <xdr:col>8</xdr:col>
      <xdr:colOff>593164</xdr:colOff>
      <xdr:row>15</xdr:row>
      <xdr:rowOff>0</xdr:rowOff>
    </xdr:to>
    <xdr:graphicFrame macro="">
      <xdr:nvGraphicFramePr>
        <xdr:cNvPr id="4" name="Chart 3">
          <a:extLst>
            <a:ext uri="{FF2B5EF4-FFF2-40B4-BE49-F238E27FC236}">
              <a16:creationId xmlns:a16="http://schemas.microsoft.com/office/drawing/2014/main" id="{00000000-0008-0000-0300-000004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9</xdr:col>
      <xdr:colOff>213472</xdr:colOff>
      <xdr:row>0</xdr:row>
      <xdr:rowOff>114300</xdr:rowOff>
    </xdr:from>
    <xdr:to>
      <xdr:col>16</xdr:col>
      <xdr:colOff>518272</xdr:colOff>
      <xdr:row>15</xdr:row>
      <xdr:rowOff>0</xdr:rowOff>
    </xdr:to>
    <xdr:graphicFrame macro="">
      <xdr:nvGraphicFramePr>
        <xdr:cNvPr id="5" name="Chart 4">
          <a:extLst>
            <a:ext uri="{FF2B5EF4-FFF2-40B4-BE49-F238E27FC236}">
              <a16:creationId xmlns:a16="http://schemas.microsoft.com/office/drawing/2014/main" id="{00000000-0008-0000-0300-000005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17</xdr:col>
      <xdr:colOff>100479</xdr:colOff>
      <xdr:row>0</xdr:row>
      <xdr:rowOff>114300</xdr:rowOff>
    </xdr:from>
    <xdr:to>
      <xdr:col>24</xdr:col>
      <xdr:colOff>405279</xdr:colOff>
      <xdr:row>15</xdr:row>
      <xdr:rowOff>0</xdr:rowOff>
    </xdr:to>
    <xdr:graphicFrame macro="">
      <xdr:nvGraphicFramePr>
        <xdr:cNvPr id="6" name="Chart 5">
          <a:extLst>
            <a:ext uri="{FF2B5EF4-FFF2-40B4-BE49-F238E27FC236}">
              <a16:creationId xmlns:a16="http://schemas.microsoft.com/office/drawing/2014/main" id="{00000000-0008-0000-0300-000006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179298</xdr:colOff>
      <xdr:row>0</xdr:row>
      <xdr:rowOff>119529</xdr:rowOff>
    </xdr:from>
    <xdr:to>
      <xdr:col>1</xdr:col>
      <xdr:colOff>190505</xdr:colOff>
      <xdr:row>14</xdr:row>
      <xdr:rowOff>164353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860981" y="1159808"/>
          <a:ext cx="2764118" cy="683560"/>
        </a:xfrm>
        <a:prstGeom prst="rect">
          <a:avLst/>
        </a:prstGeom>
        <a:solidFill>
          <a:srgbClr val="E9D9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a:t>Housing and tenure  benefits</a:t>
          </a:r>
        </a:p>
      </xdr:txBody>
    </xdr:sp>
    <xdr:clientData/>
  </xdr:twoCellAnchor>
  <xdr:twoCellAnchor>
    <xdr:from>
      <xdr:col>0</xdr:col>
      <xdr:colOff>179298</xdr:colOff>
      <xdr:row>16</xdr:row>
      <xdr:rowOff>29881</xdr:rowOff>
    </xdr:from>
    <xdr:to>
      <xdr:col>1</xdr:col>
      <xdr:colOff>190504</xdr:colOff>
      <xdr:row>30</xdr:row>
      <xdr:rowOff>59764</xdr:rowOff>
    </xdr:to>
    <xdr:sp macro="" textlink="">
      <xdr:nvSpPr>
        <xdr:cNvPr id="7" name="TextBox 6">
          <a:extLst>
            <a:ext uri="{FF2B5EF4-FFF2-40B4-BE49-F238E27FC236}">
              <a16:creationId xmlns:a16="http://schemas.microsoft.com/office/drawing/2014/main" id="{00000000-0008-0000-0300-000007000000}"/>
            </a:ext>
          </a:extLst>
        </xdr:cNvPr>
        <xdr:cNvSpPr txBox="1"/>
      </xdr:nvSpPr>
      <xdr:spPr>
        <a:xfrm rot="16200000">
          <a:off x="-853511" y="4170455"/>
          <a:ext cx="2749177" cy="683559"/>
        </a:xfrm>
        <a:prstGeom prst="rect">
          <a:avLst/>
        </a:prstGeom>
        <a:solidFill>
          <a:srgbClr val="87FFC3"/>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a:t>Environmental &amp; local amenity</a:t>
          </a:r>
          <a:r>
            <a:rPr lang="en-AU" sz="1400" baseline="0"/>
            <a:t> benefits</a:t>
          </a:r>
          <a:endParaRPr lang="en-AU" sz="1400"/>
        </a:p>
      </xdr:txBody>
    </xdr:sp>
    <xdr:clientData/>
  </xdr:twoCellAnchor>
  <xdr:twoCellAnchor editAs="absolute">
    <xdr:from>
      <xdr:col>25</xdr:col>
      <xdr:colOff>718</xdr:colOff>
      <xdr:row>16</xdr:row>
      <xdr:rowOff>0</xdr:rowOff>
    </xdr:from>
    <xdr:to>
      <xdr:col>32</xdr:col>
      <xdr:colOff>255813</xdr:colOff>
      <xdr:row>30</xdr:row>
      <xdr:rowOff>76200</xdr:rowOff>
    </xdr:to>
    <xdr:graphicFrame macro="">
      <xdr:nvGraphicFramePr>
        <xdr:cNvPr id="14" name="Chart 13">
          <a:extLst>
            <a:ext uri="{FF2B5EF4-FFF2-40B4-BE49-F238E27FC236}">
              <a16:creationId xmlns:a16="http://schemas.microsoft.com/office/drawing/2014/main" id="{00000000-0008-0000-0300-00000E00000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351117</xdr:colOff>
      <xdr:row>46</xdr:row>
      <xdr:rowOff>142875</xdr:rowOff>
    </xdr:from>
    <xdr:to>
      <xdr:col>8</xdr:col>
      <xdr:colOff>655917</xdr:colOff>
      <xdr:row>61</xdr:row>
      <xdr:rowOff>28575</xdr:rowOff>
    </xdr:to>
    <xdr:graphicFrame macro="">
      <xdr:nvGraphicFramePr>
        <xdr:cNvPr id="22" name="Chart 21">
          <a:extLst>
            <a:ext uri="{FF2B5EF4-FFF2-40B4-BE49-F238E27FC236}">
              <a16:creationId xmlns:a16="http://schemas.microsoft.com/office/drawing/2014/main" id="{00000000-0008-0000-03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236818</xdr:colOff>
      <xdr:row>46</xdr:row>
      <xdr:rowOff>142875</xdr:rowOff>
    </xdr:from>
    <xdr:to>
      <xdr:col>16</xdr:col>
      <xdr:colOff>541618</xdr:colOff>
      <xdr:row>61</xdr:row>
      <xdr:rowOff>28575</xdr:rowOff>
    </xdr:to>
    <xdr:graphicFrame macro="">
      <xdr:nvGraphicFramePr>
        <xdr:cNvPr id="23" name="Chart 22">
          <a:extLst>
            <a:ext uri="{FF2B5EF4-FFF2-40B4-BE49-F238E27FC236}">
              <a16:creationId xmlns:a16="http://schemas.microsoft.com/office/drawing/2014/main" id="{00000000-0008-0000-03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164355</xdr:colOff>
      <xdr:row>62</xdr:row>
      <xdr:rowOff>194234</xdr:rowOff>
    </xdr:from>
    <xdr:to>
      <xdr:col>1</xdr:col>
      <xdr:colOff>179295</xdr:colOff>
      <xdr:row>77</xdr:row>
      <xdr:rowOff>44825</xdr:rowOff>
    </xdr:to>
    <xdr:sp macro="" textlink="">
      <xdr:nvSpPr>
        <xdr:cNvPr id="24" name="TextBox 23">
          <a:extLst>
            <a:ext uri="{FF2B5EF4-FFF2-40B4-BE49-F238E27FC236}">
              <a16:creationId xmlns:a16="http://schemas.microsoft.com/office/drawing/2014/main" id="{00000000-0008-0000-0300-000018000000}"/>
            </a:ext>
          </a:extLst>
        </xdr:cNvPr>
        <xdr:cNvSpPr txBox="1"/>
      </xdr:nvSpPr>
      <xdr:spPr>
        <a:xfrm rot="16200000">
          <a:off x="-874059" y="16577236"/>
          <a:ext cx="2764121" cy="687293"/>
        </a:xfrm>
        <a:prstGeom prst="rect">
          <a:avLst/>
        </a:prstGeom>
        <a:solidFill>
          <a:srgbClr val="52DB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a:solidFill>
                <a:schemeClr val="tx1"/>
              </a:solidFill>
            </a:rPr>
            <a:t>Combinded</a:t>
          </a:r>
          <a:r>
            <a:rPr lang="en-AU" sz="1400" baseline="0">
              <a:solidFill>
                <a:schemeClr val="tx1"/>
              </a:solidFill>
            </a:rPr>
            <a:t> benefits</a:t>
          </a:r>
          <a:endParaRPr lang="en-AU" sz="1400">
            <a:solidFill>
              <a:schemeClr val="tx1"/>
            </a:solidFill>
          </a:endParaRPr>
        </a:p>
      </xdr:txBody>
    </xdr:sp>
    <xdr:clientData/>
  </xdr:twoCellAnchor>
  <xdr:twoCellAnchor>
    <xdr:from>
      <xdr:col>1</xdr:col>
      <xdr:colOff>351117</xdr:colOff>
      <xdr:row>16</xdr:row>
      <xdr:rowOff>0</xdr:rowOff>
    </xdr:from>
    <xdr:to>
      <xdr:col>8</xdr:col>
      <xdr:colOff>588681</xdr:colOff>
      <xdr:row>30</xdr:row>
      <xdr:rowOff>76200</xdr:rowOff>
    </xdr:to>
    <xdr:graphicFrame macro="">
      <xdr:nvGraphicFramePr>
        <xdr:cNvPr id="25" name="Chart 24">
          <a:extLst>
            <a:ext uri="{FF2B5EF4-FFF2-40B4-BE49-F238E27FC236}">
              <a16:creationId xmlns:a16="http://schemas.microsoft.com/office/drawing/2014/main" id="{00000000-0008-0000-03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351117</xdr:colOff>
      <xdr:row>63</xdr:row>
      <xdr:rowOff>0</xdr:rowOff>
    </xdr:from>
    <xdr:to>
      <xdr:col>9</xdr:col>
      <xdr:colOff>14942</xdr:colOff>
      <xdr:row>77</xdr:row>
      <xdr:rowOff>76200</xdr:rowOff>
    </xdr:to>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xdr:col>
      <xdr:colOff>236818</xdr:colOff>
      <xdr:row>63</xdr:row>
      <xdr:rowOff>-1</xdr:rowOff>
    </xdr:from>
    <xdr:to>
      <xdr:col>16</xdr:col>
      <xdr:colOff>640230</xdr:colOff>
      <xdr:row>77</xdr:row>
      <xdr:rowOff>76199</xdr:rowOff>
    </xdr:to>
    <xdr:graphicFrame macro="">
      <xdr:nvGraphicFramePr>
        <xdr:cNvPr id="29" name="Chart 28">
          <a:extLst>
            <a:ext uri="{FF2B5EF4-FFF2-40B4-BE49-F238E27FC236}">
              <a16:creationId xmlns:a16="http://schemas.microsoft.com/office/drawing/2014/main" id="{00000000-0008-0000-03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164354</xdr:colOff>
      <xdr:row>46</xdr:row>
      <xdr:rowOff>119527</xdr:rowOff>
    </xdr:from>
    <xdr:to>
      <xdr:col>1</xdr:col>
      <xdr:colOff>179297</xdr:colOff>
      <xdr:row>61</xdr:row>
      <xdr:rowOff>44821</xdr:rowOff>
    </xdr:to>
    <xdr:sp macro="" textlink="">
      <xdr:nvSpPr>
        <xdr:cNvPr id="31" name="TextBox 30">
          <a:extLst>
            <a:ext uri="{FF2B5EF4-FFF2-40B4-BE49-F238E27FC236}">
              <a16:creationId xmlns:a16="http://schemas.microsoft.com/office/drawing/2014/main" id="{00000000-0008-0000-0300-00001F000000}"/>
            </a:ext>
          </a:extLst>
        </xdr:cNvPr>
        <xdr:cNvSpPr txBox="1"/>
      </xdr:nvSpPr>
      <xdr:spPr>
        <a:xfrm rot="16200000">
          <a:off x="-911410" y="13432115"/>
          <a:ext cx="2838823" cy="687296"/>
        </a:xfrm>
        <a:prstGeom prst="rect">
          <a:avLst/>
        </a:prstGeom>
        <a:solidFill>
          <a:srgbClr val="B1C7F8"/>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AU" sz="1400">
              <a:solidFill>
                <a:schemeClr val="tx1"/>
              </a:solidFill>
            </a:rPr>
            <a:t>Cost of living relief</a:t>
          </a:r>
        </a:p>
      </xdr:txBody>
    </xdr:sp>
    <xdr:clientData/>
  </xdr:twoCellAnchor>
  <xdr:twoCellAnchor>
    <xdr:from>
      <xdr:col>1</xdr:col>
      <xdr:colOff>351117</xdr:colOff>
      <xdr:row>31</xdr:row>
      <xdr:rowOff>74544</xdr:rowOff>
    </xdr:from>
    <xdr:to>
      <xdr:col>9</xdr:col>
      <xdr:colOff>7471</xdr:colOff>
      <xdr:row>45</xdr:row>
      <xdr:rowOff>150744</xdr:rowOff>
    </xdr:to>
    <xdr:graphicFrame macro="">
      <xdr:nvGraphicFramePr>
        <xdr:cNvPr id="10" name="Chart 9">
          <a:extLst>
            <a:ext uri="{FF2B5EF4-FFF2-40B4-BE49-F238E27FC236}">
              <a16:creationId xmlns:a16="http://schemas.microsoft.com/office/drawing/2014/main" id="{33A9FCC6-70DD-40D6-ABCF-6E64D75F0F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9</xdr:col>
      <xdr:colOff>224118</xdr:colOff>
      <xdr:row>16</xdr:row>
      <xdr:rowOff>0</xdr:rowOff>
    </xdr:from>
    <xdr:to>
      <xdr:col>16</xdr:col>
      <xdr:colOff>526677</xdr:colOff>
      <xdr:row>30</xdr:row>
      <xdr:rowOff>76200</xdr:rowOff>
    </xdr:to>
    <xdr:graphicFrame macro="">
      <xdr:nvGraphicFramePr>
        <xdr:cNvPr id="9" name="Chart 8">
          <a:extLst>
            <a:ext uri="{FF2B5EF4-FFF2-40B4-BE49-F238E27FC236}">
              <a16:creationId xmlns:a16="http://schemas.microsoft.com/office/drawing/2014/main" id="{12B22FBD-4036-4E93-ADF5-993F8A1852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17</xdr:col>
      <xdr:colOff>56029</xdr:colOff>
      <xdr:row>16</xdr:row>
      <xdr:rowOff>22412</xdr:rowOff>
    </xdr:from>
    <xdr:to>
      <xdr:col>24</xdr:col>
      <xdr:colOff>470647</xdr:colOff>
      <xdr:row>30</xdr:row>
      <xdr:rowOff>98612</xdr:rowOff>
    </xdr:to>
    <xdr:graphicFrame macro="">
      <xdr:nvGraphicFramePr>
        <xdr:cNvPr id="11" name="Chart 10">
          <a:extLst>
            <a:ext uri="{FF2B5EF4-FFF2-40B4-BE49-F238E27FC236}">
              <a16:creationId xmlns:a16="http://schemas.microsoft.com/office/drawing/2014/main" id="{2C70FABA-02EF-4D00-85D9-E70AD8EB4E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393700</xdr:rowOff>
    </xdr:from>
    <xdr:to>
      <xdr:col>1</xdr:col>
      <xdr:colOff>1847691</xdr:colOff>
      <xdr:row>0</xdr:row>
      <xdr:rowOff>1883410</xdr:rowOff>
    </xdr:to>
    <xdr:pic>
      <xdr:nvPicPr>
        <xdr:cNvPr id="3" name="Picture 2">
          <a:extLst>
            <a:ext uri="{FF2B5EF4-FFF2-40B4-BE49-F238E27FC236}">
              <a16:creationId xmlns:a16="http://schemas.microsoft.com/office/drawing/2014/main" id="{5AD24A95-46AE-7AFC-07A4-B86C7535C0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79400" y="393700"/>
          <a:ext cx="1805781" cy="1485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219074</xdr:colOff>
      <xdr:row>0</xdr:row>
      <xdr:rowOff>114300</xdr:rowOff>
    </xdr:from>
    <xdr:to>
      <xdr:col>1</xdr:col>
      <xdr:colOff>1232616</xdr:colOff>
      <xdr:row>1</xdr:row>
      <xdr:rowOff>428625</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9074" y="114300"/>
          <a:ext cx="2223217" cy="504825"/>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https://liveswinburneeduau-my.sharepoint.com/Users/tmkol/AppData/Local/Microsoft/Windows/INetCache/Content.Outlook/VY4Z146R/GPSC%20(v.1.0)%20(NO%20LOCK_v3).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i Nygaard" refreshedDate="44701.573838888886" createdVersion="6" refreshedVersion="6" minRefreshableVersion="3" recordCount="40" xr:uid="{00000000-000A-0000-FFFF-FFFF01000000}">
  <cacheSource type="worksheet">
    <worksheetSource ref="A1:I41" sheet="Social and economic benefit sum" r:id="rId2"/>
  </cacheSource>
  <cacheFields count="9">
    <cacheField name="Years" numFmtId="0">
      <sharedItems containsSemiMixedTypes="0" containsString="0" containsNumber="1" containsInteger="1" minValue="1" maxValue="40" count="40">
        <n v="1"/>
        <n v="2"/>
        <n v="3"/>
        <n v="4"/>
        <n v="5"/>
        <n v="6"/>
        <n v="7"/>
        <n v="8"/>
        <n v="9"/>
        <n v="10"/>
        <n v="11"/>
        <n v="12"/>
        <n v="13"/>
        <n v="14"/>
        <n v="15"/>
        <n v="16"/>
        <n v="17"/>
        <n v="18"/>
        <n v="19"/>
        <n v="20"/>
        <n v="21"/>
        <n v="22"/>
        <n v="23"/>
        <n v="24"/>
        <n v="25"/>
        <n v="26"/>
        <n v="27"/>
        <n v="28"/>
        <n v="29"/>
        <n v="30"/>
        <n v="31"/>
        <n v="32"/>
        <n v="33"/>
        <n v="34"/>
        <n v="35"/>
        <n v="36"/>
        <n v="37"/>
        <n v="38"/>
        <n v="39"/>
        <n v="40"/>
      </sharedItems>
    </cacheField>
    <cacheField name="Public cash monetary" numFmtId="1">
      <sharedItems containsSemiMixedTypes="0" containsString="0" containsNumber="1" minValue="65069.005558079996" maxValue="176761.17270400003"/>
    </cacheField>
    <cacheField name="Private cash monetary" numFmtId="1">
      <sharedItems containsSemiMixedTypes="0" containsString="0" containsNumber="1" minValue="66961.076280000008" maxValue="144953.63955350962"/>
    </cacheField>
    <cacheField name="Private wellbeing monetary" numFmtId="1">
      <sharedItems containsSemiMixedTypes="0" containsString="0" containsNumber="1" minValue="16779.059790931202" maxValue="235000.83740800002"/>
    </cacheField>
    <cacheField name="Privtate cash and wellbeing monetary" numFmtId="1">
      <sharedItems containsSemiMixedTypes="0" containsString="0" containsNumber="1" minValue="85079.357596531219" maxValue="301961.91368800006"/>
    </cacheField>
    <cacheField name="Total cash and wellbeing monetary" numFmtId="1">
      <sharedItems containsSemiMixedTypes="0" containsString="0" containsNumber="1" minValue="146900.37919461119" maxValue="475538.78839200002"/>
    </cacheField>
    <cacheField name="Homlessness public sector offset" numFmtId="1">
      <sharedItems containsSemiMixedTypes="0" containsString="0" containsNumber="1" minValue="27599.106304000001" maxValue="59745.020979955618"/>
    </cacheField>
    <cacheField name="Public sector health and DV offset" numFmtId="1">
      <sharedItems containsSemiMixedTypes="0" containsString="0" containsNumber="1" minValue="30220.954128000001" maxValue="142596.41640000002"/>
    </cacheField>
    <cacheField name="Tenant finance" numFmtId="1">
      <sharedItems containsSemiMixedTypes="0" containsString="0" containsNumber="1" minValue="62613.609280000011" maxValue="135542.4831101206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0">
  <r>
    <x v="0"/>
    <n v="176761.17270400003"/>
    <n v="66961.076280000008"/>
    <n v="235000.83740800002"/>
    <n v="301961.91368800006"/>
    <n v="475538.78839200002"/>
    <n v="27599.106304000001"/>
    <n v="142596.41640000002"/>
    <n v="62613.609280000011"/>
  </r>
  <r>
    <x v="1"/>
    <n v="65069.005558079996"/>
    <n v="68300.297805600014"/>
    <n v="16779.059790931202"/>
    <n v="85079.357596531219"/>
    <n v="146900.37919461119"/>
    <n v="28151.088430079995"/>
    <n v="30220.954128000001"/>
    <n v="63865.881465600018"/>
  </r>
  <r>
    <x v="2"/>
    <n v="66370.385669241601"/>
    <n v="69666.303761712014"/>
    <n v="17114.640986749826"/>
    <n v="86780.944748461843"/>
    <n v="149838.38677850342"/>
    <n v="28714.110198681596"/>
    <n v="30825.373210560003"/>
    <n v="65143.199094912015"/>
  </r>
  <r>
    <x v="3"/>
    <n v="67697.79338262642"/>
    <n v="71059.62983694626"/>
    <n v="17456.933806484823"/>
    <n v="88516.563643431087"/>
    <n v="152835.15451407351"/>
    <n v="29288.392402655227"/>
    <n v="31441.880674771201"/>
    <n v="66446.063076810256"/>
  </r>
  <r>
    <x v="4"/>
    <n v="69051.749250278954"/>
    <n v="72480.822433685185"/>
    <n v="17806.07248261452"/>
    <n v="90286.894916299701"/>
    <n v="155891.857604355"/>
    <n v="29874.160250708333"/>
    <n v="32070.718288266624"/>
    <n v="67774.984338346476"/>
  </r>
  <r>
    <x v="5"/>
    <n v="70432.784235284547"/>
    <n v="73930.438882358882"/>
    <n v="18162.193932266811"/>
    <n v="92092.632814625686"/>
    <n v="159009.6947564421"/>
    <n v="30471.6434557225"/>
    <n v="32712.132654031957"/>
    <n v="69130.484025113386"/>
  </r>
  <r>
    <x v="6"/>
    <n v="71841.43991999024"/>
    <n v="75409.047660006065"/>
    <n v="18525.43781091215"/>
    <n v="93934.485470918211"/>
    <n v="162189.88865157092"/>
    <n v="31081.076324836951"/>
    <n v="33366.37530711259"/>
    <n v="70513.093705615669"/>
  </r>
  <r>
    <x v="7"/>
    <n v="73278.268718390042"/>
    <n v="76917.228613206185"/>
    <n v="18895.946567130388"/>
    <n v="95813.175180336577"/>
    <n v="165433.68642460238"/>
    <n v="31702.697851333694"/>
    <n v="34033.702813254851"/>
    <n v="71923.355579727999"/>
  </r>
  <r>
    <x v="8"/>
    <n v="74743.834092757825"/>
    <n v="78455.573185470304"/>
    <n v="19273.865498473002"/>
    <n v="97729.438683943299"/>
    <n v="168742.36015309437"/>
    <n v="32336.751808360368"/>
    <n v="34714.376869519947"/>
    <n v="73361.822691322537"/>
  </r>
  <r>
    <x v="9"/>
    <n v="76238.710774613006"/>
    <n v="80024.684649179719"/>
    <n v="19659.342808442463"/>
    <n v="99684.027457622185"/>
    <n v="172117.20735615629"/>
    <n v="32983.486844527579"/>
    <n v="35408.664406910342"/>
    <n v="74829.059145148989"/>
  </r>
  <r>
    <x v="10"/>
    <n v="77763.484990105266"/>
    <n v="81625.178342163315"/>
    <n v="20052.529664611309"/>
    <n v="101677.70800677463"/>
    <n v="175559.55150327942"/>
    <n v="33643.156581418123"/>
    <n v="36116.837695048554"/>
    <n v="76325.640328051973"/>
  </r>
  <r>
    <x v="11"/>
    <n v="79318.754689907364"/>
    <n v="83257.681909006598"/>
    <n v="20453.580257903537"/>
    <n v="103711.26216691014"/>
    <n v="179070.74253334501"/>
    <n v="34316.019713046488"/>
    <n v="36839.174448949525"/>
    <n v="77852.153134613021"/>
  </r>
  <r>
    <x v="12"/>
    <n v="80905.129783705517"/>
    <n v="84922.835547186725"/>
    <n v="20862.651863061612"/>
    <n v="105785.48741024834"/>
    <n v="182652.15738401192"/>
    <n v="35002.34010730742"/>
    <n v="37575.957937928521"/>
    <n v="79409.196197305282"/>
  </r>
  <r>
    <x v="13"/>
    <n v="82523.232379379609"/>
    <n v="86621.292258130474"/>
    <n v="21279.904900322843"/>
    <n v="107901.19715845332"/>
    <n v="186305.20053169219"/>
    <n v="35702.386909453562"/>
    <n v="38327.477096687093"/>
    <n v="80997.380121251394"/>
  </r>
  <r>
    <x v="14"/>
    <n v="84173.697026967217"/>
    <n v="88353.718103293068"/>
    <n v="21705.502998329299"/>
    <n v="110059.22110162236"/>
    <n v="190031.30454232599"/>
    <n v="36416.434647642636"/>
    <n v="39094.026638620839"/>
    <n v="82617.327723676412"/>
  </r>
  <r>
    <x v="15"/>
    <n v="85857.170967506565"/>
    <n v="90120.792465358943"/>
    <n v="22139.613058295887"/>
    <n v="112260.40552365483"/>
    <n v="193831.93063317251"/>
    <n v="37144.763340595484"/>
    <n v="39875.90717139325"/>
    <n v="84269.674278149949"/>
  </r>
  <r>
    <x v="16"/>
    <n v="87574.314386856699"/>
    <n v="91923.208314666117"/>
    <n v="22582.405319461806"/>
    <n v="114505.61363412792"/>
    <n v="197708.56924583603"/>
    <n v="37887.6586074074"/>
    <n v="40673.425314821114"/>
    <n v="85955.067763712956"/>
  </r>
  <r>
    <x v="17"/>
    <n v="89325.800674593833"/>
    <n v="93761.672480959431"/>
    <n v="23034.053425851045"/>
    <n v="116795.72590681048"/>
    <n v="201662.74063075267"/>
    <n v="38645.411779555543"/>
    <n v="41486.893821117541"/>
    <n v="87674.169118987207"/>
  </r>
  <r>
    <x v="18"/>
    <n v="91112.316688085717"/>
    <n v="95636.905930578636"/>
    <n v="23494.734494368065"/>
    <n v="119131.6404249467"/>
    <n v="205695.99544336781"/>
    <n v="39418.320015146659"/>
    <n v="42316.631697539888"/>
    <n v="89427.65250136696"/>
  </r>
  <r>
    <x v="19"/>
    <n v="92934.563021847425"/>
    <n v="97549.644049190203"/>
    <n v="23964.629184255427"/>
    <n v="121514.27323344562"/>
    <n v="209809.91535223514"/>
    <n v="40206.686415449585"/>
    <n v="43162.964331490686"/>
    <n v="91216.205551394291"/>
  </r>
  <r>
    <x v="20"/>
    <n v="94793.254282284368"/>
    <n v="99500.63693017402"/>
    <n v="24443.921767940534"/>
    <n v="123944.55869811456"/>
    <n v="214006.11365927986"/>
    <n v="41010.820143758581"/>
    <n v="44026.223618120508"/>
    <n v="93040.529662422181"/>
  </r>
  <r>
    <x v="21"/>
    <n v="96689.119367930049"/>
    <n v="101490.64966877752"/>
    <n v="24932.800203299346"/>
    <n v="126423.44987207686"/>
    <n v="218286.23593246544"/>
    <n v="41831.036546633753"/>
    <n v="44906.748090482914"/>
    <n v="94901.340255670642"/>
  </r>
  <r>
    <x v="22"/>
    <n v="98622.901755288665"/>
    <n v="103520.46266215303"/>
    <n v="25431.456207365332"/>
    <n v="128951.91886951837"/>
    <n v="222651.96065111476"/>
    <n v="42667.657277566432"/>
    <n v="45804.883052292571"/>
    <n v="96799.367060784032"/>
  </r>
  <r>
    <x v="23"/>
    <n v="100595.35979039442"/>
    <n v="105590.87191539611"/>
    <n v="25940.085331512644"/>
    <n v="131530.95724690874"/>
    <n v="227104.99986413709"/>
    <n v="43521.010423117754"/>
    <n v="46720.980713338424"/>
    <n v="98735.354401999721"/>
  </r>
  <r>
    <x v="24"/>
    <n v="102607.26698620233"/>
    <n v="107702.68935370405"/>
    <n v="26458.887038142893"/>
    <n v="134161.57639184693"/>
    <n v="231647.09986141979"/>
    <n v="44391.430631580115"/>
    <n v="47655.400327605188"/>
    <n v="100710.06149003972"/>
  </r>
  <r>
    <x v="25"/>
    <n v="104659.41232592639"/>
    <n v="109856.74314077813"/>
    <n v="26988.064778905751"/>
    <n v="136844.80791968387"/>
    <n v="236280.04185864815"/>
    <n v="45279.259244211717"/>
    <n v="48608.508334157297"/>
    <n v="102724.26271984052"/>
  </r>
  <r>
    <x v="26"/>
    <n v="106752.60057244491"/>
    <n v="112053.87800359368"/>
    <n v="27527.826074483863"/>
    <n v="139581.70407807754"/>
    <n v="241005.64269582118"/>
    <n v="46184.844429095952"/>
    <n v="49580.678500840448"/>
    <n v="104778.74797423733"/>
  </r>
  <r>
    <x v="27"/>
    <n v="108887.6525838938"/>
    <n v="114294.95556366554"/>
    <n v="28078.382595973544"/>
    <n v="142373.3381596391"/>
    <n v="245825.7555497376"/>
    <n v="47108.541317677867"/>
    <n v="50572.292070857256"/>
    <n v="106874.32293372208"/>
  </r>
  <r>
    <x v="28"/>
    <n v="111065.40563557167"/>
    <n v="116580.85467493886"/>
    <n v="28639.950247893015"/>
    <n v="145220.80492283189"/>
    <n v="250742.27066073238"/>
    <n v="48050.712144031437"/>
    <n v="51583.737912274395"/>
    <n v="109011.80939239652"/>
  </r>
  <r>
    <x v="29"/>
    <n v="113286.71374828313"/>
    <n v="118912.47176843765"/>
    <n v="29212.749252850877"/>
    <n v="148125.22102128854"/>
    <n v="255757.11607394702"/>
    <n v="49011.726386912065"/>
    <n v="52615.41267051988"/>
    <n v="111192.04558024445"/>
  </r>
  <r>
    <x v="30"/>
    <n v="115552.44802324878"/>
    <n v="121290.72120380643"/>
    <n v="29797.004237907895"/>
    <n v="151087.72544171434"/>
    <n v="260872.25839542592"/>
    <n v="49991.960914650306"/>
    <n v="53667.720923930283"/>
    <n v="113415.88649184935"/>
  </r>
  <r>
    <x v="31"/>
    <n v="117863.49698371376"/>
    <n v="123716.53562788255"/>
    <n v="30392.944322666051"/>
    <n v="154109.47995054862"/>
    <n v="266089.70356333448"/>
    <n v="50991.800132943317"/>
    <n v="54741.075342408898"/>
    <n v="115684.20422168635"/>
  </r>
  <r>
    <x v="32"/>
    <n v="120220.76692338804"/>
    <n v="126190.86634044017"/>
    <n v="31000.803209119378"/>
    <n v="157191.66954955956"/>
    <n v="271411.49763460114"/>
    <n v="52011.636135602181"/>
    <n v="55835.896849257071"/>
    <n v="117997.88830612006"/>
  </r>
  <r>
    <x v="33"/>
    <n v="122625.18226185579"/>
    <n v="128714.683667249"/>
    <n v="31620.819273301764"/>
    <n v="160335.50294055077"/>
    <n v="276839.72758729325"/>
    <n v="53051.868858314221"/>
    <n v="56952.614786242208"/>
    <n v="120357.84607224245"/>
  </r>
  <r>
    <x v="34"/>
    <n v="125077.68590709293"/>
    <n v="131288.97734059399"/>
    <n v="32253.235658767797"/>
    <n v="163542.2129993618"/>
    <n v="282376.52213903901"/>
    <n v="54112.906235480506"/>
    <n v="58091.667081967062"/>
    <n v="122765.00299368732"/>
  </r>
  <r>
    <x v="35"/>
    <n v="127579.23962523478"/>
    <n v="133914.75688740585"/>
    <n v="32898.300371943158"/>
    <n v="166813.05725934901"/>
    <n v="288024.05258181982"/>
    <n v="55195.164360190123"/>
    <n v="59253.500423606412"/>
    <n v="125220.30305356107"/>
  </r>
  <r>
    <x v="36"/>
    <n v="130130.82441773948"/>
    <n v="136593.05202515397"/>
    <n v="33556.266379382025"/>
    <n v="170149.318404536"/>
    <n v="293784.53363345622"/>
    <n v="56299.067647393924"/>
    <n v="60438.57043207853"/>
    <n v="127724.70911463226"/>
  </r>
  <r>
    <x v="37"/>
    <n v="132733.44090609427"/>
    <n v="139324.91306565705"/>
    <n v="34227.391706969662"/>
    <n v="173552.30477262673"/>
    <n v="299660.22430612537"/>
    <n v="57425.049000341809"/>
    <n v="61647.34184072011"/>
    <n v="130279.20329692493"/>
  </r>
  <r>
    <x v="38"/>
    <n v="135388.10972421619"/>
    <n v="142111.41132697024"/>
    <n v="34911.939541109052"/>
    <n v="177023.35086807929"/>
    <n v="305653.4287922479"/>
    <n v="58573.549980348645"/>
    <n v="62880.28867753451"/>
    <n v="132884.78736286346"/>
  </r>
  <r>
    <x v="39"/>
    <n v="138095.87191870052"/>
    <n v="144953.63955350962"/>
    <n v="35610.178331931238"/>
    <n v="180563.81788544086"/>
    <n v="311766.49736809288"/>
    <n v="59745.020979955618"/>
    <n v="64137.894451085202"/>
    <n v="135542.4831101206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800-000000000000}" name="PivotTable1"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I44" firstHeaderRow="0" firstDataRow="1" firstDataCol="1"/>
  <pivotFields count="9">
    <pivotField axis="axisRow" showAll="0">
      <items count="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t="default"/>
      </items>
    </pivotField>
    <pivotField dataField="1" numFmtId="1" showAll="0"/>
    <pivotField dataField="1" numFmtId="1" showAll="0"/>
    <pivotField dataField="1" numFmtId="1" showAll="0"/>
    <pivotField dataField="1" numFmtId="1" showAll="0"/>
    <pivotField dataField="1" numFmtId="1" showAll="0"/>
    <pivotField dataField="1" numFmtId="1" showAll="0"/>
    <pivotField dataField="1" numFmtId="1" showAll="0"/>
    <pivotField dataField="1" numFmtId="1" showAll="0"/>
  </pivotFields>
  <rowFields count="1">
    <field x="0"/>
  </rowFields>
  <rowItems count="41">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t="grand">
      <x/>
    </i>
  </rowItems>
  <colFields count="1">
    <field x="-2"/>
  </colFields>
  <colItems count="8">
    <i>
      <x/>
    </i>
    <i i="1">
      <x v="1"/>
    </i>
    <i i="2">
      <x v="2"/>
    </i>
    <i i="3">
      <x v="3"/>
    </i>
    <i i="4">
      <x v="4"/>
    </i>
    <i i="5">
      <x v="5"/>
    </i>
    <i i="6">
      <x v="6"/>
    </i>
    <i i="7">
      <x v="7"/>
    </i>
  </colItems>
  <dataFields count="8">
    <dataField name="Sum of Public cash monetary" fld="1" baseField="0" baseItem="0"/>
    <dataField name="Sum of Private cash monetary" fld="2" baseField="0" baseItem="0"/>
    <dataField name="Sum of Private wellbeing monetary" fld="3" baseField="0" baseItem="0"/>
    <dataField name="Sum of Privtate cash and wellbeing monetary" fld="4" baseField="0" baseItem="0"/>
    <dataField name="Sum of Total cash and wellbeing monetary" fld="5" baseField="0" baseItem="0"/>
    <dataField name="Sum of Homlessness public sector offset" fld="6" baseField="0" baseItem="0"/>
    <dataField name="Sum of Public sector health and DV offset" fld="7" baseField="0" baseItem="0"/>
    <dataField name="Sum of Tenant finance" fld="8" baseField="0" baseItem="0"/>
  </dataFields>
  <formats count="3">
    <format dxfId="14">
      <pivotArea outline="0" collapsedLevelsAreSubtotals="1" fieldPosition="0"/>
    </format>
    <format dxfId="13">
      <pivotArea outline="0" collapsedLevelsAreSubtotals="1" fieldPosition="0"/>
    </format>
    <format dxfId="1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NSW" displayName="NSW" ref="AW2:AW39" totalsRowShown="0">
  <autoFilter ref="AW2:AW39" xr:uid="{00000000-0009-0000-0100-000001000000}"/>
  <tableColumns count="1">
    <tableColumn id="1" xr3:uid="{00000000-0010-0000-0000-000001000000}" name="Tabl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Vic" displayName="Vic" ref="AY2:AY24" totalsRowShown="0">
  <autoFilter ref="AY2:AY24" xr:uid="{00000000-0009-0000-0100-000002000000}"/>
  <tableColumns count="1">
    <tableColumn id="1" xr3:uid="{00000000-0010-0000-0100-000001000000}" name="Tabl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Qld" displayName="Qld" ref="BA2:BA22" totalsRowShown="0">
  <autoFilter ref="BA2:BA22" xr:uid="{00000000-0009-0000-0100-000003000000}"/>
  <tableColumns count="1">
    <tableColumn id="1" xr3:uid="{00000000-0010-0000-0200-000001000000}" name="Tabl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WA" displayName="WA" ref="BE2:BE13" totalsRowShown="0">
  <autoFilter ref="BE2:BE13" xr:uid="{00000000-0009-0000-0100-000004000000}"/>
  <tableColumns count="1">
    <tableColumn id="1" xr3:uid="{00000000-0010-0000-0300-000001000000}" name="Tabl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SA" displayName="SA" ref="BC2:BC11" totalsRowShown="0">
  <autoFilter ref="BC2:BC11" xr:uid="{00000000-0009-0000-0100-000005000000}"/>
  <tableColumns count="1">
    <tableColumn id="1" xr3:uid="{00000000-0010-0000-0400-000001000000}" name="Table"/>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s" displayName="Tas" ref="BG2:BG8" totalsRowShown="0">
  <autoFilter ref="BG2:BG8" xr:uid="{00000000-0009-0000-0100-000006000000}"/>
  <tableColumns count="1">
    <tableColumn id="1" xr3:uid="{00000000-0010-0000-0500-000001000000}" name="Table"/>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NT" displayName="NT" ref="BI2:BI5" totalsRowShown="0">
  <autoFilter ref="BI2:BI5" xr:uid="{00000000-0009-0000-0100-000007000000}"/>
  <tableColumns count="1">
    <tableColumn id="1" xr3:uid="{00000000-0010-0000-0600-000001000000}" name="Table"/>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ACT" displayName="ACT" ref="BK2:BK4" totalsRowShown="0">
  <autoFilter ref="BK2:BK4" xr:uid="{00000000-0009-0000-0100-000008000000}"/>
  <tableColumns count="1">
    <tableColumn id="1" xr3:uid="{00000000-0010-0000-0700-000001000000}" name="Table"/>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Yes" displayName="Yes" ref="BM2:BM4" totalsRowShown="0">
  <autoFilter ref="BM2:BM4" xr:uid="{00000000-0009-0000-0100-000009000000}"/>
  <tableColumns count="1">
    <tableColumn id="1" xr3:uid="{00000000-0010-0000-0800-000001000000}" name="Table"/>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Yes_11" displayName="Yes_11" ref="BO2:BO4" totalsRowShown="0">
  <autoFilter ref="BO2:BO4" xr:uid="{00000000-0009-0000-0100-00000A000000}"/>
  <tableColumns count="1">
    <tableColumn id="1" xr3:uid="{00000000-0010-0000-0900-000001000000}" name="Tabl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ahd.csiro.au/dashboards/fixtures-and-appliances/air-conditioning/" TargetMode="External"/></Relationships>
</file>

<file path=xl/worksheets/_rels/sheet10.xml.rels><?xml version="1.0" encoding="UTF-8" standalone="yes"?>
<Relationships xmlns="http://schemas.openxmlformats.org/package/2006/relationships"><Relationship Id="rId8" Type="http://schemas.openxmlformats.org/officeDocument/2006/relationships/table" Target="../tables/table8.xml"/><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table" Target="../tables/table2.xml"/><Relationship Id="rId1" Type="http://schemas.openxmlformats.org/officeDocument/2006/relationships/table" Target="../tables/table1.xml"/><Relationship Id="rId6" Type="http://schemas.openxmlformats.org/officeDocument/2006/relationships/table" Target="../tables/table6.xml"/><Relationship Id="rId5" Type="http://schemas.openxmlformats.org/officeDocument/2006/relationships/table" Target="../tables/table5.xml"/><Relationship Id="rId10" Type="http://schemas.openxmlformats.org/officeDocument/2006/relationships/table" Target="../tables/table10.xml"/><Relationship Id="rId4" Type="http://schemas.openxmlformats.org/officeDocument/2006/relationships/table" Target="../tables/table4.xml"/><Relationship Id="rId9"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17" Type="http://schemas.openxmlformats.org/officeDocument/2006/relationships/hyperlink" Target="http://doi.org/10.26188/5da55463adae0" TargetMode="External"/><Relationship Id="rId21" Type="http://schemas.openxmlformats.org/officeDocument/2006/relationships/hyperlink" Target="http://doi.org/10.26188/5da5556225c38" TargetMode="External"/><Relationship Id="rId63" Type="http://schemas.openxmlformats.org/officeDocument/2006/relationships/hyperlink" Target="http://doi.org/10.26188/5da5519635948" TargetMode="External"/><Relationship Id="rId159" Type="http://schemas.openxmlformats.org/officeDocument/2006/relationships/hyperlink" Target="http://doi.org/10.26188/5da5551da9cb9" TargetMode="External"/><Relationship Id="rId170" Type="http://schemas.openxmlformats.org/officeDocument/2006/relationships/hyperlink" Target="http://doi.org/10.26188/5da5559330846" TargetMode="External"/><Relationship Id="rId226" Type="http://schemas.openxmlformats.org/officeDocument/2006/relationships/hyperlink" Target="http://doi.org/10.26188/5da5571457bf1" TargetMode="External"/><Relationship Id="rId268" Type="http://schemas.openxmlformats.org/officeDocument/2006/relationships/hyperlink" Target="http://doi.org/10.26188/5da5578416cc9" TargetMode="External"/><Relationship Id="rId32" Type="http://schemas.openxmlformats.org/officeDocument/2006/relationships/hyperlink" Target="http://doi.org/10.26188/5da553f3e04ff" TargetMode="External"/><Relationship Id="rId74" Type="http://schemas.openxmlformats.org/officeDocument/2006/relationships/hyperlink" Target="http://doi.org/10.26188/5da551dec2e47" TargetMode="External"/><Relationship Id="rId128" Type="http://schemas.openxmlformats.org/officeDocument/2006/relationships/hyperlink" Target="http://doi.org/10.26188/5da5583906307" TargetMode="External"/><Relationship Id="rId5" Type="http://schemas.openxmlformats.org/officeDocument/2006/relationships/hyperlink" Target="http://doi.org/10.26188/5da551b3248d5" TargetMode="External"/><Relationship Id="rId181" Type="http://schemas.openxmlformats.org/officeDocument/2006/relationships/hyperlink" Target="http://doi.org/10.26188/5da55178a8ecb" TargetMode="External"/><Relationship Id="rId237" Type="http://schemas.openxmlformats.org/officeDocument/2006/relationships/hyperlink" Target="http://doi.org/10.26188/5da553562c7fa" TargetMode="External"/><Relationship Id="rId279" Type="http://schemas.openxmlformats.org/officeDocument/2006/relationships/hyperlink" Target="http://doi.org/10.26188/5da551fc254d7" TargetMode="External"/><Relationship Id="rId43" Type="http://schemas.openxmlformats.org/officeDocument/2006/relationships/hyperlink" Target="http://doi.org/10.26188/5da5528023cab" TargetMode="External"/><Relationship Id="rId139" Type="http://schemas.openxmlformats.org/officeDocument/2006/relationships/hyperlink" Target="http://doi.org/10.26188/5da5521a352db" TargetMode="External"/><Relationship Id="rId85" Type="http://schemas.openxmlformats.org/officeDocument/2006/relationships/hyperlink" Target="http://doi.org/10.26188/5da55308b9bbe" TargetMode="External"/><Relationship Id="rId150" Type="http://schemas.openxmlformats.org/officeDocument/2006/relationships/hyperlink" Target="http://doi.org/10.26188/5da557baa95ce" TargetMode="External"/><Relationship Id="rId192" Type="http://schemas.openxmlformats.org/officeDocument/2006/relationships/hyperlink" Target="http://doi.org/10.26188/5da55484429d7" TargetMode="External"/><Relationship Id="rId206" Type="http://schemas.openxmlformats.org/officeDocument/2006/relationships/hyperlink" Target="http://doi.org/10.26188/5da556a82dd9d" TargetMode="External"/><Relationship Id="rId248" Type="http://schemas.openxmlformats.org/officeDocument/2006/relationships/hyperlink" Target="http://doi.org/10.26188/5da554ea370a5" TargetMode="External"/><Relationship Id="rId269" Type="http://schemas.openxmlformats.org/officeDocument/2006/relationships/hyperlink" Target="http://doi.org/10.26188/5da5578416cc9" TargetMode="External"/><Relationship Id="rId12" Type="http://schemas.openxmlformats.org/officeDocument/2006/relationships/hyperlink" Target="http://doi.org/10.26188/5da55375f3452" TargetMode="External"/><Relationship Id="rId33" Type="http://schemas.openxmlformats.org/officeDocument/2006/relationships/hyperlink" Target="http://doi.org/10.26188/5da553f3e04ff" TargetMode="External"/><Relationship Id="rId108" Type="http://schemas.openxmlformats.org/officeDocument/2006/relationships/hyperlink" Target="http://doi.org/10.26188/5da55463adae0" TargetMode="External"/><Relationship Id="rId129" Type="http://schemas.openxmlformats.org/officeDocument/2006/relationships/hyperlink" Target="http://doi.org/10.26188/5da5583906307" TargetMode="External"/><Relationship Id="rId280" Type="http://schemas.openxmlformats.org/officeDocument/2006/relationships/hyperlink" Target="http://doi.org/10.26188/5da551fc254d7" TargetMode="External"/><Relationship Id="rId54" Type="http://schemas.openxmlformats.org/officeDocument/2006/relationships/hyperlink" Target="http://doi.org/10.26188/5da556cc242c5" TargetMode="External"/><Relationship Id="rId75" Type="http://schemas.openxmlformats.org/officeDocument/2006/relationships/hyperlink" Target="http://doi.org/10.26188/5da551b3248d5" TargetMode="External"/><Relationship Id="rId96" Type="http://schemas.openxmlformats.org/officeDocument/2006/relationships/hyperlink" Target="http://doi.org/10.26188/5da5580349dda" TargetMode="External"/><Relationship Id="rId140" Type="http://schemas.openxmlformats.org/officeDocument/2006/relationships/hyperlink" Target="http://doi.org/10.26188/5da5521a352db" TargetMode="External"/><Relationship Id="rId161" Type="http://schemas.openxmlformats.org/officeDocument/2006/relationships/hyperlink" Target="http://doi.org/10.26188/5da5552ee9ccf" TargetMode="External"/><Relationship Id="rId182" Type="http://schemas.openxmlformats.org/officeDocument/2006/relationships/hyperlink" Target="http://doi.org/10.26188/5da55178a8ecb" TargetMode="External"/><Relationship Id="rId217" Type="http://schemas.openxmlformats.org/officeDocument/2006/relationships/hyperlink" Target="http://doi.org/10.26188/5da556bad2165" TargetMode="External"/><Relationship Id="rId6" Type="http://schemas.openxmlformats.org/officeDocument/2006/relationships/hyperlink" Target="http://doi.org/10.26188/5da554d7d6197" TargetMode="External"/><Relationship Id="rId238" Type="http://schemas.openxmlformats.org/officeDocument/2006/relationships/hyperlink" Target="http://doi.org/10.26188/5da5529e3a6be" TargetMode="External"/><Relationship Id="rId259" Type="http://schemas.openxmlformats.org/officeDocument/2006/relationships/hyperlink" Target="http://doi.org/10.26188/5da555b3e3bf9" TargetMode="External"/><Relationship Id="rId23" Type="http://schemas.openxmlformats.org/officeDocument/2006/relationships/hyperlink" Target="http://doi.org/10.26188/5da5556225c38" TargetMode="External"/><Relationship Id="rId119" Type="http://schemas.openxmlformats.org/officeDocument/2006/relationships/hyperlink" Target="http://doi.org/10.26188/5da55463adae0" TargetMode="External"/><Relationship Id="rId270" Type="http://schemas.openxmlformats.org/officeDocument/2006/relationships/hyperlink" Target="http://doi.org/10.26188/5da550538b369" TargetMode="External"/><Relationship Id="rId44" Type="http://schemas.openxmlformats.org/officeDocument/2006/relationships/hyperlink" Target="http://doi.org/10.26188/5da5528023cab" TargetMode="External"/><Relationship Id="rId65" Type="http://schemas.openxmlformats.org/officeDocument/2006/relationships/hyperlink" Target="http://doi.org/10.26188/5da5519635948" TargetMode="External"/><Relationship Id="rId86" Type="http://schemas.openxmlformats.org/officeDocument/2006/relationships/hyperlink" Target="http://doi.org/10.26188/5da55308b9bbe" TargetMode="External"/><Relationship Id="rId130" Type="http://schemas.openxmlformats.org/officeDocument/2006/relationships/hyperlink" Target="http://doi.org/10.26188/5da5583906307" TargetMode="External"/><Relationship Id="rId151" Type="http://schemas.openxmlformats.org/officeDocument/2006/relationships/hyperlink" Target="http://doi.org/10.26188/5da557baa95ce" TargetMode="External"/><Relationship Id="rId172" Type="http://schemas.openxmlformats.org/officeDocument/2006/relationships/hyperlink" Target="http://doi.org/10.26188/5da5559330846" TargetMode="External"/><Relationship Id="rId193" Type="http://schemas.openxmlformats.org/officeDocument/2006/relationships/hyperlink" Target="http://doi.org/10.26188/5da55484429d7" TargetMode="External"/><Relationship Id="rId207" Type="http://schemas.openxmlformats.org/officeDocument/2006/relationships/hyperlink" Target="http://doi.org/10.26188/5da556a82dd9d" TargetMode="External"/><Relationship Id="rId228" Type="http://schemas.openxmlformats.org/officeDocument/2006/relationships/hyperlink" Target="http://doi.org/10.26188/5da558ad914dc" TargetMode="External"/><Relationship Id="rId249" Type="http://schemas.openxmlformats.org/officeDocument/2006/relationships/hyperlink" Target="http://doi.org/10.26188/5da55346af5dc" TargetMode="External"/><Relationship Id="rId13" Type="http://schemas.openxmlformats.org/officeDocument/2006/relationships/hyperlink" Target="http://doi.org/10.26188/5da55375f3452" TargetMode="External"/><Relationship Id="rId109" Type="http://schemas.openxmlformats.org/officeDocument/2006/relationships/hyperlink" Target="http://doi.org/10.26188/5da554545f280" TargetMode="External"/><Relationship Id="rId260" Type="http://schemas.openxmlformats.org/officeDocument/2006/relationships/hyperlink" Target="http://doi.org/10.26188/5da5561c22195" TargetMode="External"/><Relationship Id="rId281" Type="http://schemas.openxmlformats.org/officeDocument/2006/relationships/hyperlink" Target="http://doi.org/10.26188/5da551fc254d7" TargetMode="External"/><Relationship Id="rId34" Type="http://schemas.openxmlformats.org/officeDocument/2006/relationships/hyperlink" Target="http://doi.org/10.26188/5da553f3e04ff" TargetMode="External"/><Relationship Id="rId55" Type="http://schemas.openxmlformats.org/officeDocument/2006/relationships/hyperlink" Target="http://doi.org/10.26188/5da556cc242c5" TargetMode="External"/><Relationship Id="rId76" Type="http://schemas.openxmlformats.org/officeDocument/2006/relationships/hyperlink" Target="http://doi.org/10.26188/5da551dec2e47" TargetMode="External"/><Relationship Id="rId97" Type="http://schemas.openxmlformats.org/officeDocument/2006/relationships/hyperlink" Target="http://doi.org/10.26188/5da5580349dda" TargetMode="External"/><Relationship Id="rId120" Type="http://schemas.openxmlformats.org/officeDocument/2006/relationships/hyperlink" Target="http://doi.org/10.26188/5da5514c0eea5" TargetMode="External"/><Relationship Id="rId141" Type="http://schemas.openxmlformats.org/officeDocument/2006/relationships/hyperlink" Target="http://doi.org/10.26188/5da55236c5619" TargetMode="External"/><Relationship Id="rId7" Type="http://schemas.openxmlformats.org/officeDocument/2006/relationships/hyperlink" Target="http://doi.org/10.26188/5da556516b6e3" TargetMode="External"/><Relationship Id="rId162" Type="http://schemas.openxmlformats.org/officeDocument/2006/relationships/hyperlink" Target="http://doi.org/10.26188/5da5552ee9ccf" TargetMode="External"/><Relationship Id="rId183" Type="http://schemas.openxmlformats.org/officeDocument/2006/relationships/hyperlink" Target="http://doi.org/10.26188/5da55178a8ecb" TargetMode="External"/><Relationship Id="rId218" Type="http://schemas.openxmlformats.org/officeDocument/2006/relationships/hyperlink" Target="http://doi.org/10.26188/5da556bad2165" TargetMode="External"/><Relationship Id="rId239" Type="http://schemas.openxmlformats.org/officeDocument/2006/relationships/hyperlink" Target="http://doi.org/10.26188/5da552bc24123" TargetMode="External"/><Relationship Id="rId250" Type="http://schemas.openxmlformats.org/officeDocument/2006/relationships/hyperlink" Target="http://doi.org/10.26188/5da55346af5dc" TargetMode="External"/><Relationship Id="rId271" Type="http://schemas.openxmlformats.org/officeDocument/2006/relationships/hyperlink" Target="http://doi.org/10.26188/5da550538b369" TargetMode="External"/><Relationship Id="rId24" Type="http://schemas.openxmlformats.org/officeDocument/2006/relationships/hyperlink" Target="http://doi.org/10.26188/5da5556225c38" TargetMode="External"/><Relationship Id="rId45" Type="http://schemas.openxmlformats.org/officeDocument/2006/relationships/hyperlink" Target="http://doi.org/10.26188/5da5528023cab" TargetMode="External"/><Relationship Id="rId66" Type="http://schemas.openxmlformats.org/officeDocument/2006/relationships/hyperlink" Target="http://doi.org/10.26188/5da5519635948" TargetMode="External"/><Relationship Id="rId87" Type="http://schemas.openxmlformats.org/officeDocument/2006/relationships/hyperlink" Target="http://doi.org/10.26188/5da55308b9bbe" TargetMode="External"/><Relationship Id="rId110" Type="http://schemas.openxmlformats.org/officeDocument/2006/relationships/hyperlink" Target="http://doi.org/10.26188/5da554545f280" TargetMode="External"/><Relationship Id="rId131" Type="http://schemas.openxmlformats.org/officeDocument/2006/relationships/hyperlink" Target="http://doi.org/10.26188/5da5583906307" TargetMode="External"/><Relationship Id="rId152" Type="http://schemas.openxmlformats.org/officeDocument/2006/relationships/hyperlink" Target="http://doi.org/10.26188/5da558e47158f" TargetMode="External"/><Relationship Id="rId173" Type="http://schemas.openxmlformats.org/officeDocument/2006/relationships/hyperlink" Target="http://doi.org/10.26188/5da5559330846" TargetMode="External"/><Relationship Id="rId194" Type="http://schemas.openxmlformats.org/officeDocument/2006/relationships/hyperlink" Target="http://doi.org/10.26188/5da555a381ad3" TargetMode="External"/><Relationship Id="rId208" Type="http://schemas.openxmlformats.org/officeDocument/2006/relationships/hyperlink" Target="http://doi.org/10.26188/5da556a82dd9d" TargetMode="External"/><Relationship Id="rId229" Type="http://schemas.openxmlformats.org/officeDocument/2006/relationships/hyperlink" Target="http://doi.org/10.26188/5da558ad914dc" TargetMode="External"/><Relationship Id="rId240" Type="http://schemas.openxmlformats.org/officeDocument/2006/relationships/hyperlink" Target="http://doi.org/10.26188/5da55336dce12" TargetMode="External"/><Relationship Id="rId261" Type="http://schemas.openxmlformats.org/officeDocument/2006/relationships/hyperlink" Target="http://doi.org/10.26188/5da5562dbfbf9" TargetMode="External"/><Relationship Id="rId14" Type="http://schemas.openxmlformats.org/officeDocument/2006/relationships/hyperlink" Target="http://doi.org/10.26188/5da554738e0e0" TargetMode="External"/><Relationship Id="rId35" Type="http://schemas.openxmlformats.org/officeDocument/2006/relationships/hyperlink" Target="http://doi.org/10.26188/5da553f3e04ff" TargetMode="External"/><Relationship Id="rId56" Type="http://schemas.openxmlformats.org/officeDocument/2006/relationships/hyperlink" Target="http://doi.org/10.26188/5da556ef90771" TargetMode="External"/><Relationship Id="rId77" Type="http://schemas.openxmlformats.org/officeDocument/2006/relationships/hyperlink" Target="http://doi.org/10.26188/5da551b3248d5" TargetMode="External"/><Relationship Id="rId100" Type="http://schemas.openxmlformats.org/officeDocument/2006/relationships/hyperlink" Target="http://doi.org/10.26188/5da552dadce9f" TargetMode="External"/><Relationship Id="rId282" Type="http://schemas.openxmlformats.org/officeDocument/2006/relationships/hyperlink" Target="http://doi.org/10.26188/5da55701cee5d" TargetMode="External"/><Relationship Id="rId8" Type="http://schemas.openxmlformats.org/officeDocument/2006/relationships/hyperlink" Target="http://doi.org/10.26188/5da556516b6e3" TargetMode="External"/><Relationship Id="rId98" Type="http://schemas.openxmlformats.org/officeDocument/2006/relationships/hyperlink" Target="http://doi.org/10.26188/5da5580349dda" TargetMode="External"/><Relationship Id="rId121" Type="http://schemas.openxmlformats.org/officeDocument/2006/relationships/hyperlink" Target="http://doi.org/10.26188/5da5514c0eea5" TargetMode="External"/><Relationship Id="rId142" Type="http://schemas.openxmlformats.org/officeDocument/2006/relationships/hyperlink" Target="http://doi.org/10.26188/5da55236c5619" TargetMode="External"/><Relationship Id="rId163" Type="http://schemas.openxmlformats.org/officeDocument/2006/relationships/hyperlink" Target="http://doi.org/10.26188/5da5552ee9ccf" TargetMode="External"/><Relationship Id="rId184" Type="http://schemas.openxmlformats.org/officeDocument/2006/relationships/hyperlink" Target="http://doi.org/10.26188/5da55178a8ecb" TargetMode="External"/><Relationship Id="rId219" Type="http://schemas.openxmlformats.org/officeDocument/2006/relationships/hyperlink" Target="http://doi.org/10.26188/5da556dde71cd" TargetMode="External"/><Relationship Id="rId230" Type="http://schemas.openxmlformats.org/officeDocument/2006/relationships/hyperlink" Target="http://doi.org/10.26188/5da558ad914dc" TargetMode="External"/><Relationship Id="rId251" Type="http://schemas.openxmlformats.org/officeDocument/2006/relationships/hyperlink" Target="http://doi.org/10.26188/5da55346af5dc" TargetMode="External"/><Relationship Id="rId25" Type="http://schemas.openxmlformats.org/officeDocument/2006/relationships/hyperlink" Target="http://doi.org/10.26188/5da553f3e04ff" TargetMode="External"/><Relationship Id="rId46" Type="http://schemas.openxmlformats.org/officeDocument/2006/relationships/hyperlink" Target="http://doi.org/10.26188/5da551d0640fa" TargetMode="External"/><Relationship Id="rId67" Type="http://schemas.openxmlformats.org/officeDocument/2006/relationships/hyperlink" Target="http://doi.org/10.26188/5da551a4afce4" TargetMode="External"/><Relationship Id="rId272" Type="http://schemas.openxmlformats.org/officeDocument/2006/relationships/hyperlink" Target="http://doi.org/10.26188/5da54a4ae57a1" TargetMode="External"/><Relationship Id="rId88" Type="http://schemas.openxmlformats.org/officeDocument/2006/relationships/hyperlink" Target="http://doi.org/10.26188/5da553272580f" TargetMode="External"/><Relationship Id="rId111" Type="http://schemas.openxmlformats.org/officeDocument/2006/relationships/hyperlink" Target="http://doi.org/10.26188/5da554545f280" TargetMode="External"/><Relationship Id="rId132" Type="http://schemas.openxmlformats.org/officeDocument/2006/relationships/hyperlink" Target="http://doi.org/10.26188/5da55550a40e9" TargetMode="External"/><Relationship Id="rId153" Type="http://schemas.openxmlformats.org/officeDocument/2006/relationships/hyperlink" Target="http://doi.org/10.26188/5da558e47158f" TargetMode="External"/><Relationship Id="rId174" Type="http://schemas.openxmlformats.org/officeDocument/2006/relationships/hyperlink" Target="http://doi.org/10.26188/5da55582e7c62" TargetMode="External"/><Relationship Id="rId195" Type="http://schemas.openxmlformats.org/officeDocument/2006/relationships/hyperlink" Target="http://doi.org/10.26188/5da555a381ad3" TargetMode="External"/><Relationship Id="rId209" Type="http://schemas.openxmlformats.org/officeDocument/2006/relationships/hyperlink" Target="http://doi.org/10.26188/5da556a82dd9d" TargetMode="External"/><Relationship Id="rId220" Type="http://schemas.openxmlformats.org/officeDocument/2006/relationships/hyperlink" Target="http://doi.org/10.26188/5da556dde71cd" TargetMode="External"/><Relationship Id="rId241" Type="http://schemas.openxmlformats.org/officeDocument/2006/relationships/hyperlink" Target="http://doi.org/10.26188/5da55336dce12" TargetMode="External"/><Relationship Id="rId15" Type="http://schemas.openxmlformats.org/officeDocument/2006/relationships/hyperlink" Target="http://doi.org/10.26188/5da554738e0e0" TargetMode="External"/><Relationship Id="rId36" Type="http://schemas.openxmlformats.org/officeDocument/2006/relationships/hyperlink" Target="http://doi.org/10.26188/5da5589913df4" TargetMode="External"/><Relationship Id="rId57" Type="http://schemas.openxmlformats.org/officeDocument/2006/relationships/hyperlink" Target="http://doi.org/10.26188/5da556ef90771" TargetMode="External"/><Relationship Id="rId262" Type="http://schemas.openxmlformats.org/officeDocument/2006/relationships/hyperlink" Target="http://doi.org/10.26188/5da5562dbfbf9" TargetMode="External"/><Relationship Id="rId283" Type="http://schemas.openxmlformats.org/officeDocument/2006/relationships/hyperlink" Target="http://doi.org/10.26188/5da552ea39cdc" TargetMode="External"/><Relationship Id="rId78" Type="http://schemas.openxmlformats.org/officeDocument/2006/relationships/hyperlink" Target="http://doi.org/10.26188/5da551b3248d5" TargetMode="External"/><Relationship Id="rId99" Type="http://schemas.openxmlformats.org/officeDocument/2006/relationships/hyperlink" Target="http://doi.org/10.26188/5da5580349dda" TargetMode="External"/><Relationship Id="rId101" Type="http://schemas.openxmlformats.org/officeDocument/2006/relationships/hyperlink" Target="http://doi.org/10.26188/5da5554017f41" TargetMode="External"/><Relationship Id="rId122" Type="http://schemas.openxmlformats.org/officeDocument/2006/relationships/hyperlink" Target="http://doi.org/10.26188/5da5514c0eea5" TargetMode="External"/><Relationship Id="rId143" Type="http://schemas.openxmlformats.org/officeDocument/2006/relationships/hyperlink" Target="http://doi.org/10.26188/5da55236c5619" TargetMode="External"/><Relationship Id="rId164" Type="http://schemas.openxmlformats.org/officeDocument/2006/relationships/hyperlink" Target="http://doi.org/10.26188/5da5552ee9ccf" TargetMode="External"/><Relationship Id="rId185" Type="http://schemas.openxmlformats.org/officeDocument/2006/relationships/hyperlink" Target="http://doi.org/10.26188/5da55178a8ecb" TargetMode="External"/><Relationship Id="rId9" Type="http://schemas.openxmlformats.org/officeDocument/2006/relationships/hyperlink" Target="http://doi.org/10.26188/5da552f96c488" TargetMode="External"/><Relationship Id="rId210" Type="http://schemas.openxmlformats.org/officeDocument/2006/relationships/hyperlink" Target="http://doi.org/10.26188/5da556a82dd9d" TargetMode="External"/><Relationship Id="rId26" Type="http://schemas.openxmlformats.org/officeDocument/2006/relationships/hyperlink" Target="http://doi.org/10.26188/5da5556225c38" TargetMode="External"/><Relationship Id="rId231" Type="http://schemas.openxmlformats.org/officeDocument/2006/relationships/hyperlink" Target="http://doi.org/10.26188/5da558ad914dc" TargetMode="External"/><Relationship Id="rId252" Type="http://schemas.openxmlformats.org/officeDocument/2006/relationships/hyperlink" Target="http://doi.org/10.26188/5da55346af5dc" TargetMode="External"/><Relationship Id="rId273" Type="http://schemas.openxmlformats.org/officeDocument/2006/relationships/hyperlink" Target="http://doi.org/10.26188/5da54a4ae57a1" TargetMode="External"/><Relationship Id="rId47" Type="http://schemas.openxmlformats.org/officeDocument/2006/relationships/hyperlink" Target="http://doi.org/10.26188/5da55494afb75" TargetMode="External"/><Relationship Id="rId68" Type="http://schemas.openxmlformats.org/officeDocument/2006/relationships/hyperlink" Target="http://doi.org/10.26188/5da551b3248d5" TargetMode="External"/><Relationship Id="rId89" Type="http://schemas.openxmlformats.org/officeDocument/2006/relationships/hyperlink" Target="http://doi.org/10.26188/5da5580349dda" TargetMode="External"/><Relationship Id="rId112" Type="http://schemas.openxmlformats.org/officeDocument/2006/relationships/hyperlink" Target="http://doi.org/10.26188/5da554545f280" TargetMode="External"/><Relationship Id="rId133" Type="http://schemas.openxmlformats.org/officeDocument/2006/relationships/hyperlink" Target="http://doi.org/10.26188/5da55550a40e9" TargetMode="External"/><Relationship Id="rId154" Type="http://schemas.openxmlformats.org/officeDocument/2006/relationships/hyperlink" Target="http://doi.org/10.26188/5da558bf3c7d7" TargetMode="External"/><Relationship Id="rId175" Type="http://schemas.openxmlformats.org/officeDocument/2006/relationships/hyperlink" Target="http://doi.org/10.26188/5da5559330846" TargetMode="External"/><Relationship Id="rId196" Type="http://schemas.openxmlformats.org/officeDocument/2006/relationships/hyperlink" Target="http://doi.org/10.26188/5da555a381ad3" TargetMode="External"/><Relationship Id="rId200" Type="http://schemas.openxmlformats.org/officeDocument/2006/relationships/hyperlink" Target="http://doi.org/10.26188/5da556966a461" TargetMode="External"/><Relationship Id="rId16" Type="http://schemas.openxmlformats.org/officeDocument/2006/relationships/hyperlink" Target="http://doi.org/10.26188/5da554738e0e0" TargetMode="External"/><Relationship Id="rId221" Type="http://schemas.openxmlformats.org/officeDocument/2006/relationships/hyperlink" Target="http://doi.org/10.26188/5da556dde71cd" TargetMode="External"/><Relationship Id="rId242" Type="http://schemas.openxmlformats.org/officeDocument/2006/relationships/hyperlink" Target="http://doi.org/10.26188/5da55336dce12" TargetMode="External"/><Relationship Id="rId263" Type="http://schemas.openxmlformats.org/officeDocument/2006/relationships/hyperlink" Target="http://doi.org/10.26188/5da556748c57f" TargetMode="External"/><Relationship Id="rId284" Type="http://schemas.openxmlformats.org/officeDocument/2006/relationships/hyperlink" Target="http://doi.org/10.26188/5da552ea39cdc" TargetMode="External"/><Relationship Id="rId37" Type="http://schemas.openxmlformats.org/officeDocument/2006/relationships/hyperlink" Target="http://doi.org/10.26188/5da5589913df4" TargetMode="External"/><Relationship Id="rId58" Type="http://schemas.openxmlformats.org/officeDocument/2006/relationships/hyperlink" Target="http://doi.org/10.26188/5da556ef90771" TargetMode="External"/><Relationship Id="rId79" Type="http://schemas.openxmlformats.org/officeDocument/2006/relationships/hyperlink" Target="http://doi.org/10.26188/5da55317e50fc" TargetMode="External"/><Relationship Id="rId102" Type="http://schemas.openxmlformats.org/officeDocument/2006/relationships/hyperlink" Target="http://doi.org/10.26188/5da55550a40e9" TargetMode="External"/><Relationship Id="rId123" Type="http://schemas.openxmlformats.org/officeDocument/2006/relationships/hyperlink" Target="http://doi.org/10.26188/5da5507e33fe6" TargetMode="External"/><Relationship Id="rId144" Type="http://schemas.openxmlformats.org/officeDocument/2006/relationships/hyperlink" Target="http://doi.org/10.26188/5da5521a352db" TargetMode="External"/><Relationship Id="rId90" Type="http://schemas.openxmlformats.org/officeDocument/2006/relationships/hyperlink" Target="http://doi.org/10.26188/5da5580349dda" TargetMode="External"/><Relationship Id="rId165" Type="http://schemas.openxmlformats.org/officeDocument/2006/relationships/hyperlink" Target="http://doi.org/10.26188/5da5552ee9ccf" TargetMode="External"/><Relationship Id="rId186" Type="http://schemas.openxmlformats.org/officeDocument/2006/relationships/hyperlink" Target="http://doi.org/10.26188/5da554446a581" TargetMode="External"/><Relationship Id="rId211" Type="http://schemas.openxmlformats.org/officeDocument/2006/relationships/hyperlink" Target="http://doi.org/10.26188/5da556bad2165" TargetMode="External"/><Relationship Id="rId232" Type="http://schemas.openxmlformats.org/officeDocument/2006/relationships/hyperlink" Target="http://doi.org/10.26188/5da552ad307a9" TargetMode="External"/><Relationship Id="rId253" Type="http://schemas.openxmlformats.org/officeDocument/2006/relationships/hyperlink" Target="http://doi.org/10.26188/5da554a55f5a5" TargetMode="External"/><Relationship Id="rId274" Type="http://schemas.openxmlformats.org/officeDocument/2006/relationships/hyperlink" Target="http://doi.org/10.26188/5da54a4ae57a1" TargetMode="External"/><Relationship Id="rId27" Type="http://schemas.openxmlformats.org/officeDocument/2006/relationships/hyperlink" Target="http://doi.org/10.26188/5da553f3e04ff" TargetMode="External"/><Relationship Id="rId48" Type="http://schemas.openxmlformats.org/officeDocument/2006/relationships/hyperlink" Target="http://doi.org/10.26188/5da55494afb75" TargetMode="External"/><Relationship Id="rId69" Type="http://schemas.openxmlformats.org/officeDocument/2006/relationships/hyperlink" Target="http://doi.org/10.26188/5da551b3248d5" TargetMode="External"/><Relationship Id="rId113" Type="http://schemas.openxmlformats.org/officeDocument/2006/relationships/hyperlink" Target="http://doi.org/10.26188/5da554545f280" TargetMode="External"/><Relationship Id="rId134" Type="http://schemas.openxmlformats.org/officeDocument/2006/relationships/hyperlink" Target="http://doi.org/10.26188/5da55550a40e9" TargetMode="External"/><Relationship Id="rId80" Type="http://schemas.openxmlformats.org/officeDocument/2006/relationships/hyperlink" Target="http://doi.org/10.26188/5da55317e50fc" TargetMode="External"/><Relationship Id="rId155" Type="http://schemas.openxmlformats.org/officeDocument/2006/relationships/hyperlink" Target="http://doi.org/10.26188/5da558bf3c7d7" TargetMode="External"/><Relationship Id="rId176" Type="http://schemas.openxmlformats.org/officeDocument/2006/relationships/hyperlink" Target="http://doi.org/10.26188/5da55609d0f6f" TargetMode="External"/><Relationship Id="rId197" Type="http://schemas.openxmlformats.org/officeDocument/2006/relationships/hyperlink" Target="http://doi.org/10.26188/5da555a381ad3" TargetMode="External"/><Relationship Id="rId201" Type="http://schemas.openxmlformats.org/officeDocument/2006/relationships/hyperlink" Target="http://doi.org/10.26188/5da556966a461" TargetMode="External"/><Relationship Id="rId222" Type="http://schemas.openxmlformats.org/officeDocument/2006/relationships/hyperlink" Target="http://doi.org/10.26188/5da556dde71cd" TargetMode="External"/><Relationship Id="rId243" Type="http://schemas.openxmlformats.org/officeDocument/2006/relationships/hyperlink" Target="http://doi.org/10.26188/5da55336dce12" TargetMode="External"/><Relationship Id="rId264" Type="http://schemas.openxmlformats.org/officeDocument/2006/relationships/hyperlink" Target="http://doi.org/10.26188/5da556748c57f" TargetMode="External"/><Relationship Id="rId285" Type="http://schemas.openxmlformats.org/officeDocument/2006/relationships/hyperlink" Target="http://doi.org/10.26188/5da552ea39cdc" TargetMode="External"/><Relationship Id="rId17" Type="http://schemas.openxmlformats.org/officeDocument/2006/relationships/hyperlink" Target="http://doi.org/10.26188/5da554738e0e0" TargetMode="External"/><Relationship Id="rId38" Type="http://schemas.openxmlformats.org/officeDocument/2006/relationships/hyperlink" Target="http://doi.org/10.26188/5da5589913df4" TargetMode="External"/><Relationship Id="rId59" Type="http://schemas.openxmlformats.org/officeDocument/2006/relationships/hyperlink" Target="http://doi.org/10.26188/5da551b3248d5" TargetMode="External"/><Relationship Id="rId103" Type="http://schemas.openxmlformats.org/officeDocument/2006/relationships/hyperlink" Target="http://doi.org/10.26188/5da558259be14" TargetMode="External"/><Relationship Id="rId124" Type="http://schemas.openxmlformats.org/officeDocument/2006/relationships/hyperlink" Target="http://doi.org/10.26188/5da5507e33fe6" TargetMode="External"/><Relationship Id="rId70" Type="http://schemas.openxmlformats.org/officeDocument/2006/relationships/hyperlink" Target="http://doi.org/10.26188/5da551b3248d5" TargetMode="External"/><Relationship Id="rId91" Type="http://schemas.openxmlformats.org/officeDocument/2006/relationships/hyperlink" Target="http://doi.org/10.26188/5dd09ea396b11" TargetMode="External"/><Relationship Id="rId145" Type="http://schemas.openxmlformats.org/officeDocument/2006/relationships/hyperlink" Target="http://doi.org/10.26188/5da5521a352db" TargetMode="External"/><Relationship Id="rId166" Type="http://schemas.openxmlformats.org/officeDocument/2006/relationships/hyperlink" Target="http://doi.org/10.26188/5da5551da9cb9" TargetMode="External"/><Relationship Id="rId187" Type="http://schemas.openxmlformats.org/officeDocument/2006/relationships/hyperlink" Target="http://doi.org/10.26188/5da554446a581" TargetMode="External"/><Relationship Id="rId1" Type="http://schemas.openxmlformats.org/officeDocument/2006/relationships/hyperlink" Target="http://creativecommons.org/licenses/by-nc-nd/4.0/" TargetMode="External"/><Relationship Id="rId212" Type="http://schemas.openxmlformats.org/officeDocument/2006/relationships/hyperlink" Target="http://doi.org/10.26188/5da556bad2165" TargetMode="External"/><Relationship Id="rId233" Type="http://schemas.openxmlformats.org/officeDocument/2006/relationships/hyperlink" Target="http://doi.org/10.26188/5da554c7241e7" TargetMode="External"/><Relationship Id="rId254" Type="http://schemas.openxmlformats.org/officeDocument/2006/relationships/hyperlink" Target="http://doi.org/10.26188/5da554a55f5a5" TargetMode="External"/><Relationship Id="rId28" Type="http://schemas.openxmlformats.org/officeDocument/2006/relationships/hyperlink" Target="http://doi.org/10.26188/5da553f3e04ff" TargetMode="External"/><Relationship Id="rId49" Type="http://schemas.openxmlformats.org/officeDocument/2006/relationships/hyperlink" Target="http://doi.org/10.26188/5da55494afb75" TargetMode="External"/><Relationship Id="rId114" Type="http://schemas.openxmlformats.org/officeDocument/2006/relationships/hyperlink" Target="http://doi.org/10.26188/5da554545f280" TargetMode="External"/><Relationship Id="rId275" Type="http://schemas.openxmlformats.org/officeDocument/2006/relationships/hyperlink" Target="http://doi.org/10.26188/5da54a205d0e5" TargetMode="External"/><Relationship Id="rId60" Type="http://schemas.openxmlformats.org/officeDocument/2006/relationships/hyperlink" Target="http://doi.org/10.26188/5da5519635948" TargetMode="External"/><Relationship Id="rId81" Type="http://schemas.openxmlformats.org/officeDocument/2006/relationships/hyperlink" Target="http://doi.org/10.26188/5da55317e50fc" TargetMode="External"/><Relationship Id="rId135" Type="http://schemas.openxmlformats.org/officeDocument/2006/relationships/hyperlink" Target="http://doi.org/10.26188/5da5584b06f9b" TargetMode="External"/><Relationship Id="rId156" Type="http://schemas.openxmlformats.org/officeDocument/2006/relationships/hyperlink" Target="http://doi.org/10.26188/5da555f8c2b02" TargetMode="External"/><Relationship Id="rId177" Type="http://schemas.openxmlformats.org/officeDocument/2006/relationships/hyperlink" Target="http://doi.org/10.26188/5da55609d0f6f" TargetMode="External"/><Relationship Id="rId198" Type="http://schemas.openxmlformats.org/officeDocument/2006/relationships/hyperlink" Target="http://doi.org/10.26188/5da555a381ad3" TargetMode="External"/><Relationship Id="rId202" Type="http://schemas.openxmlformats.org/officeDocument/2006/relationships/hyperlink" Target="http://doi.org/10.26188/5da556966a461" TargetMode="External"/><Relationship Id="rId223" Type="http://schemas.openxmlformats.org/officeDocument/2006/relationships/hyperlink" Target="http://doi.org/10.26188/5da556dde71cd" TargetMode="External"/><Relationship Id="rId244" Type="http://schemas.openxmlformats.org/officeDocument/2006/relationships/hyperlink" Target="http://doi.org/10.26188/5da55336dce12" TargetMode="External"/><Relationship Id="rId18" Type="http://schemas.openxmlformats.org/officeDocument/2006/relationships/hyperlink" Target="http://doi.org/10.26188/5da554738e0e0" TargetMode="External"/><Relationship Id="rId39" Type="http://schemas.openxmlformats.org/officeDocument/2006/relationships/hyperlink" Target="http://doi.org/10.26188/5da5589913df4" TargetMode="External"/><Relationship Id="rId265" Type="http://schemas.openxmlformats.org/officeDocument/2006/relationships/hyperlink" Target="http://doi.org/10.26188/5da5586fec593" TargetMode="External"/><Relationship Id="rId286" Type="http://schemas.openxmlformats.org/officeDocument/2006/relationships/hyperlink" Target="http://doi.org/10.26188/5da552ea39cdc" TargetMode="External"/><Relationship Id="rId50" Type="http://schemas.openxmlformats.org/officeDocument/2006/relationships/hyperlink" Target="http://doi.org/10.26188/5da55737d3e5e" TargetMode="External"/><Relationship Id="rId104" Type="http://schemas.openxmlformats.org/officeDocument/2006/relationships/hyperlink" Target="http://doi.org/10.26188/5da558259be14" TargetMode="External"/><Relationship Id="rId125" Type="http://schemas.openxmlformats.org/officeDocument/2006/relationships/hyperlink" Target="http://doi.org/10.26188/5da5507e33fe6" TargetMode="External"/><Relationship Id="rId146" Type="http://schemas.openxmlformats.org/officeDocument/2006/relationships/hyperlink" Target="http://doi.org/10.26188/5da55771ca8cf" TargetMode="External"/><Relationship Id="rId167" Type="http://schemas.openxmlformats.org/officeDocument/2006/relationships/hyperlink" Target="http://doi.org/10.26188/5da5552ee9ccf" TargetMode="External"/><Relationship Id="rId188" Type="http://schemas.openxmlformats.org/officeDocument/2006/relationships/hyperlink" Target="http://doi.org/10.26188/5da554446a581" TargetMode="External"/><Relationship Id="rId71" Type="http://schemas.openxmlformats.org/officeDocument/2006/relationships/hyperlink" Target="http://doi.org/10.26188/5da551b3248d5" TargetMode="External"/><Relationship Id="rId92" Type="http://schemas.openxmlformats.org/officeDocument/2006/relationships/hyperlink" Target="http://doi.org/10.26188/5da557cc41ed8" TargetMode="External"/><Relationship Id="rId213" Type="http://schemas.openxmlformats.org/officeDocument/2006/relationships/hyperlink" Target="http://doi.org/10.26188/5da556bad2165" TargetMode="External"/><Relationship Id="rId234" Type="http://schemas.openxmlformats.org/officeDocument/2006/relationships/hyperlink" Target="http://doi.org/10.26188/5da557263ad43" TargetMode="External"/><Relationship Id="rId2" Type="http://schemas.openxmlformats.org/officeDocument/2006/relationships/hyperlink" Target="http://www.epicdatabase.com.au/" TargetMode="External"/><Relationship Id="rId29" Type="http://schemas.openxmlformats.org/officeDocument/2006/relationships/hyperlink" Target="http://doi.org/10.26188/5da553f3e04ff" TargetMode="External"/><Relationship Id="rId255" Type="http://schemas.openxmlformats.org/officeDocument/2006/relationships/hyperlink" Target="http://doi.org/10.26188/5da55571d9d31" TargetMode="External"/><Relationship Id="rId276" Type="http://schemas.openxmlformats.org/officeDocument/2006/relationships/hyperlink" Target="http://doi.org/10.26188/5da54a205d0e5" TargetMode="External"/><Relationship Id="rId40" Type="http://schemas.openxmlformats.org/officeDocument/2006/relationships/hyperlink" Target="http://doi.org/10.26188/5da5589913df4" TargetMode="External"/><Relationship Id="rId115" Type="http://schemas.openxmlformats.org/officeDocument/2006/relationships/hyperlink" Target="http://doi.org/10.26188/5da55463adae0" TargetMode="External"/><Relationship Id="rId136" Type="http://schemas.openxmlformats.org/officeDocument/2006/relationships/hyperlink" Target="http://doi.org/10.26188/5da5584b06f9b" TargetMode="External"/><Relationship Id="rId157" Type="http://schemas.openxmlformats.org/officeDocument/2006/relationships/hyperlink" Target="http://doi.org/10.26188/5da558867e249" TargetMode="External"/><Relationship Id="rId178" Type="http://schemas.openxmlformats.org/officeDocument/2006/relationships/hyperlink" Target="http://doi.org/10.26188/5da55609d0f6f" TargetMode="External"/><Relationship Id="rId61" Type="http://schemas.openxmlformats.org/officeDocument/2006/relationships/hyperlink" Target="http://doi.org/10.26188/5da5519635948" TargetMode="External"/><Relationship Id="rId82" Type="http://schemas.openxmlformats.org/officeDocument/2006/relationships/hyperlink" Target="http://doi.org/10.26188/5da55317e50fc" TargetMode="External"/><Relationship Id="rId199" Type="http://schemas.openxmlformats.org/officeDocument/2006/relationships/hyperlink" Target="http://doi.org/10.26188/5da556966a461" TargetMode="External"/><Relationship Id="rId203" Type="http://schemas.openxmlformats.org/officeDocument/2006/relationships/hyperlink" Target="http://doi.org/10.26188/5da556966a461" TargetMode="External"/><Relationship Id="rId19" Type="http://schemas.openxmlformats.org/officeDocument/2006/relationships/hyperlink" Target="http://doi.org/10.26188/5da554738e0e0" TargetMode="External"/><Relationship Id="rId224" Type="http://schemas.openxmlformats.org/officeDocument/2006/relationships/hyperlink" Target="http://doi.org/10.26188/5da5571457bf1" TargetMode="External"/><Relationship Id="rId245" Type="http://schemas.openxmlformats.org/officeDocument/2006/relationships/hyperlink" Target="http://doi.org/10.26188/5da55336dce12" TargetMode="External"/><Relationship Id="rId266" Type="http://schemas.openxmlformats.org/officeDocument/2006/relationships/hyperlink" Target="http://doi.org/10.26188/5da5586fec593" TargetMode="External"/><Relationship Id="rId287" Type="http://schemas.openxmlformats.org/officeDocument/2006/relationships/hyperlink" Target="http://doi.org/10.26188/5da5528f75432" TargetMode="External"/><Relationship Id="rId30" Type="http://schemas.openxmlformats.org/officeDocument/2006/relationships/hyperlink" Target="http://doi.org/10.26188/5da553f3e04ff" TargetMode="External"/><Relationship Id="rId105" Type="http://schemas.openxmlformats.org/officeDocument/2006/relationships/hyperlink" Target="http://doi.org/10.26188/5da558259be14" TargetMode="External"/><Relationship Id="rId126" Type="http://schemas.openxmlformats.org/officeDocument/2006/relationships/hyperlink" Target="http://doi.org/10.26188/5da550538b369" TargetMode="External"/><Relationship Id="rId147" Type="http://schemas.openxmlformats.org/officeDocument/2006/relationships/hyperlink" Target="http://doi.org/10.26188/5da557a8720ed" TargetMode="External"/><Relationship Id="rId168" Type="http://schemas.openxmlformats.org/officeDocument/2006/relationships/hyperlink" Target="http://doi.org/10.26188/5da55582e7c62" TargetMode="External"/><Relationship Id="rId51" Type="http://schemas.openxmlformats.org/officeDocument/2006/relationships/hyperlink" Target="http://doi.org/10.26188/5da55737d3e5e" TargetMode="External"/><Relationship Id="rId72" Type="http://schemas.openxmlformats.org/officeDocument/2006/relationships/hyperlink" Target="http://doi.org/10.26188/5da551dec2e47" TargetMode="External"/><Relationship Id="rId93" Type="http://schemas.openxmlformats.org/officeDocument/2006/relationships/hyperlink" Target="http://doi.org/10.26188/5da557de9ee33" TargetMode="External"/><Relationship Id="rId189" Type="http://schemas.openxmlformats.org/officeDocument/2006/relationships/hyperlink" Target="http://doi.org/10.26188/5da554446a581" TargetMode="External"/><Relationship Id="rId3" Type="http://schemas.openxmlformats.org/officeDocument/2006/relationships/hyperlink" Target="https://doi.org/10.26188/5dc228ef98c5a" TargetMode="External"/><Relationship Id="rId214" Type="http://schemas.openxmlformats.org/officeDocument/2006/relationships/hyperlink" Target="http://doi.org/10.26188/5da556bad2165" TargetMode="External"/><Relationship Id="rId235" Type="http://schemas.openxmlformats.org/officeDocument/2006/relationships/hyperlink" Target="http://doi.org/10.26188/5da5574945e6e" TargetMode="External"/><Relationship Id="rId256" Type="http://schemas.openxmlformats.org/officeDocument/2006/relationships/hyperlink" Target="http://doi.org/10.26188/5da555b3e3bf9" TargetMode="External"/><Relationship Id="rId277" Type="http://schemas.openxmlformats.org/officeDocument/2006/relationships/hyperlink" Target="http://doi.org/10.26188/5da54a205d0e5" TargetMode="External"/><Relationship Id="rId116" Type="http://schemas.openxmlformats.org/officeDocument/2006/relationships/hyperlink" Target="http://doi.org/10.26188/5da55463adae0" TargetMode="External"/><Relationship Id="rId137" Type="http://schemas.openxmlformats.org/officeDocument/2006/relationships/hyperlink" Target="http://doi.org/10.26188/5da5584b06f9b" TargetMode="External"/><Relationship Id="rId158" Type="http://schemas.openxmlformats.org/officeDocument/2006/relationships/hyperlink" Target="http://doi.org/10.26188/5da5551da9cb9" TargetMode="External"/><Relationship Id="rId20" Type="http://schemas.openxmlformats.org/officeDocument/2006/relationships/hyperlink" Target="http://doi.org/10.26188/5da554738e0e0" TargetMode="External"/><Relationship Id="rId41" Type="http://schemas.openxmlformats.org/officeDocument/2006/relationships/hyperlink" Target="http://doi.org/10.26188/5da5589913df4" TargetMode="External"/><Relationship Id="rId62" Type="http://schemas.openxmlformats.org/officeDocument/2006/relationships/hyperlink" Target="http://doi.org/10.26188/5da5519635948" TargetMode="External"/><Relationship Id="rId83" Type="http://schemas.openxmlformats.org/officeDocument/2006/relationships/hyperlink" Target="http://doi.org/10.26188/5da55308b9bbe" TargetMode="External"/><Relationship Id="rId179" Type="http://schemas.openxmlformats.org/officeDocument/2006/relationships/hyperlink" Target="http://doi.org/10.26188/5da55609d0f6f" TargetMode="External"/><Relationship Id="rId190" Type="http://schemas.openxmlformats.org/officeDocument/2006/relationships/hyperlink" Target="http://doi.org/10.26188/5da55484429d7" TargetMode="External"/><Relationship Id="rId204" Type="http://schemas.openxmlformats.org/officeDocument/2006/relationships/hyperlink" Target="http://doi.org/10.26188/5da556a82dd9d" TargetMode="External"/><Relationship Id="rId225" Type="http://schemas.openxmlformats.org/officeDocument/2006/relationships/hyperlink" Target="http://doi.org/10.26188/5da5571457bf1" TargetMode="External"/><Relationship Id="rId246" Type="http://schemas.openxmlformats.org/officeDocument/2006/relationships/hyperlink" Target="http://doi.org/10.26188/5da554ea370a5" TargetMode="External"/><Relationship Id="rId267" Type="http://schemas.openxmlformats.org/officeDocument/2006/relationships/hyperlink" Target="http://doi.org/10.26188/5da5586fec593" TargetMode="External"/><Relationship Id="rId288" Type="http://schemas.openxmlformats.org/officeDocument/2006/relationships/printerSettings" Target="../printerSettings/printerSettings9.bin"/><Relationship Id="rId106" Type="http://schemas.openxmlformats.org/officeDocument/2006/relationships/hyperlink" Target="http://doi.org/10.26188/5da55814c051c" TargetMode="External"/><Relationship Id="rId127" Type="http://schemas.openxmlformats.org/officeDocument/2006/relationships/hyperlink" Target="http://doi.org/10.26188/5da5583906307" TargetMode="External"/><Relationship Id="rId10" Type="http://schemas.openxmlformats.org/officeDocument/2006/relationships/hyperlink" Target="http://doi.org/10.26188/5da55375f3452" TargetMode="External"/><Relationship Id="rId31" Type="http://schemas.openxmlformats.org/officeDocument/2006/relationships/hyperlink" Target="http://doi.org/10.26188/5da553f3e04ff" TargetMode="External"/><Relationship Id="rId52" Type="http://schemas.openxmlformats.org/officeDocument/2006/relationships/hyperlink" Target="http://doi.org/10.26188/5da55737d3e5e" TargetMode="External"/><Relationship Id="rId73" Type="http://schemas.openxmlformats.org/officeDocument/2006/relationships/hyperlink" Target="http://doi.org/10.26188/5da551dec2e47" TargetMode="External"/><Relationship Id="rId94" Type="http://schemas.openxmlformats.org/officeDocument/2006/relationships/hyperlink" Target="http://doi.org/10.26188/5da557de9ee33" TargetMode="External"/><Relationship Id="rId148" Type="http://schemas.openxmlformats.org/officeDocument/2006/relationships/hyperlink" Target="http://doi.org/10.26188/5da558d1e3aa6" TargetMode="External"/><Relationship Id="rId169" Type="http://schemas.openxmlformats.org/officeDocument/2006/relationships/hyperlink" Target="http://doi.org/10.26188/5da55582e7c62" TargetMode="External"/><Relationship Id="rId4" Type="http://schemas.openxmlformats.org/officeDocument/2006/relationships/hyperlink" Target="http://doi.org/10.26188/5da5521a352db" TargetMode="External"/><Relationship Id="rId180" Type="http://schemas.openxmlformats.org/officeDocument/2006/relationships/hyperlink" Target="http://doi.org/10.26188/5da55178a8ecb" TargetMode="External"/><Relationship Id="rId215" Type="http://schemas.openxmlformats.org/officeDocument/2006/relationships/hyperlink" Target="http://doi.org/10.26188/5da556bad2165" TargetMode="External"/><Relationship Id="rId236" Type="http://schemas.openxmlformats.org/officeDocument/2006/relationships/hyperlink" Target="http://doi.org/10.26188/5da5575bb1595" TargetMode="External"/><Relationship Id="rId257" Type="http://schemas.openxmlformats.org/officeDocument/2006/relationships/hyperlink" Target="http://doi.org/10.26188/5da555b3e3bf9" TargetMode="External"/><Relationship Id="rId278" Type="http://schemas.openxmlformats.org/officeDocument/2006/relationships/hyperlink" Target="http://doi.org/10.26188/5da551fc254d7" TargetMode="External"/><Relationship Id="rId42" Type="http://schemas.openxmlformats.org/officeDocument/2006/relationships/hyperlink" Target="http://doi.org/10.26188/5da5589913df4" TargetMode="External"/><Relationship Id="rId84" Type="http://schemas.openxmlformats.org/officeDocument/2006/relationships/hyperlink" Target="http://doi.org/10.26188/5da55308b9bbe" TargetMode="External"/><Relationship Id="rId138" Type="http://schemas.openxmlformats.org/officeDocument/2006/relationships/hyperlink" Target="http://doi.org/10.26188/5da551ed753b9" TargetMode="External"/><Relationship Id="rId191" Type="http://schemas.openxmlformats.org/officeDocument/2006/relationships/hyperlink" Target="http://doi.org/10.26188/5da55484429d7" TargetMode="External"/><Relationship Id="rId205" Type="http://schemas.openxmlformats.org/officeDocument/2006/relationships/hyperlink" Target="http://doi.org/10.26188/5da556a82dd9d" TargetMode="External"/><Relationship Id="rId247" Type="http://schemas.openxmlformats.org/officeDocument/2006/relationships/hyperlink" Target="http://doi.org/10.26188/5da554ea370a5" TargetMode="External"/><Relationship Id="rId107" Type="http://schemas.openxmlformats.org/officeDocument/2006/relationships/hyperlink" Target="http://doi.org/10.26188/5da558259be14" TargetMode="External"/><Relationship Id="rId289" Type="http://schemas.openxmlformats.org/officeDocument/2006/relationships/drawing" Target="../drawings/drawing4.xml"/><Relationship Id="rId11" Type="http://schemas.openxmlformats.org/officeDocument/2006/relationships/hyperlink" Target="http://doi.org/10.26188/5da55375f3452" TargetMode="External"/><Relationship Id="rId53" Type="http://schemas.openxmlformats.org/officeDocument/2006/relationships/hyperlink" Target="http://doi.org/10.26188/5da556cc242c5" TargetMode="External"/><Relationship Id="rId149" Type="http://schemas.openxmlformats.org/officeDocument/2006/relationships/hyperlink" Target="http://doi.org/10.26188/5da558f73d913" TargetMode="External"/><Relationship Id="rId95" Type="http://schemas.openxmlformats.org/officeDocument/2006/relationships/hyperlink" Target="http://doi.org/10.26188/5da5580349dda" TargetMode="External"/><Relationship Id="rId160" Type="http://schemas.openxmlformats.org/officeDocument/2006/relationships/hyperlink" Target="http://doi.org/10.26188/5da5552ee9ccf" TargetMode="External"/><Relationship Id="rId216" Type="http://schemas.openxmlformats.org/officeDocument/2006/relationships/hyperlink" Target="http://doi.org/10.26188/5da556bad2165" TargetMode="External"/><Relationship Id="rId258" Type="http://schemas.openxmlformats.org/officeDocument/2006/relationships/hyperlink" Target="http://doi.org/10.26188/5da555b3e3bf9" TargetMode="External"/><Relationship Id="rId22" Type="http://schemas.openxmlformats.org/officeDocument/2006/relationships/hyperlink" Target="http://doi.org/10.26188/5da5556225c38" TargetMode="External"/><Relationship Id="rId64" Type="http://schemas.openxmlformats.org/officeDocument/2006/relationships/hyperlink" Target="http://doi.org/10.26188/5da5519635948" TargetMode="External"/><Relationship Id="rId118" Type="http://schemas.openxmlformats.org/officeDocument/2006/relationships/hyperlink" Target="http://doi.org/10.26188/5da55463adae0" TargetMode="External"/><Relationship Id="rId171" Type="http://schemas.openxmlformats.org/officeDocument/2006/relationships/hyperlink" Target="http://doi.org/10.26188/5da5559330846" TargetMode="External"/><Relationship Id="rId227" Type="http://schemas.openxmlformats.org/officeDocument/2006/relationships/hyperlink" Target="http://doi.org/10.26188/5da558ad914d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sheetPr>
  <dimension ref="B1:P27"/>
  <sheetViews>
    <sheetView tabSelected="1" topLeftCell="A2" zoomScaleNormal="100" workbookViewId="0">
      <selection activeCell="P46" sqref="P46"/>
    </sheetView>
  </sheetViews>
  <sheetFormatPr defaultColWidth="9.140625" defaultRowHeight="15" x14ac:dyDescent="0.25"/>
  <cols>
    <col min="1" max="16384" width="9.140625" style="229"/>
  </cols>
  <sheetData>
    <row r="1" spans="2:7" hidden="1" x14ac:dyDescent="0.25"/>
    <row r="2" spans="2:7" ht="236.1" customHeight="1" x14ac:dyDescent="0.25"/>
    <row r="3" spans="2:7" x14ac:dyDescent="0.25">
      <c r="B3" s="229" t="s">
        <v>1145</v>
      </c>
    </row>
    <row r="4" spans="2:7" x14ac:dyDescent="0.25">
      <c r="B4" s="230"/>
      <c r="C4" s="230"/>
      <c r="D4" s="230"/>
      <c r="E4" s="230"/>
      <c r="F4" s="230"/>
      <c r="G4" s="230"/>
    </row>
    <row r="5" spans="2:7" x14ac:dyDescent="0.25">
      <c r="B5" s="230"/>
      <c r="C5" s="230"/>
      <c r="D5" s="230"/>
      <c r="E5" s="230"/>
      <c r="F5" s="230"/>
      <c r="G5" s="230"/>
    </row>
    <row r="6" spans="2:7" x14ac:dyDescent="0.25">
      <c r="B6" s="230"/>
      <c r="C6" s="230"/>
      <c r="D6" s="230"/>
      <c r="E6" s="230"/>
      <c r="F6" s="230"/>
      <c r="G6" s="230"/>
    </row>
    <row r="8" spans="2:7" x14ac:dyDescent="0.25">
      <c r="B8" s="229" t="s">
        <v>1082</v>
      </c>
    </row>
    <row r="9" spans="2:7" x14ac:dyDescent="0.25">
      <c r="B9" s="229" t="s">
        <v>288</v>
      </c>
    </row>
    <row r="10" spans="2:7" x14ac:dyDescent="0.25">
      <c r="B10" s="229" t="s">
        <v>289</v>
      </c>
    </row>
    <row r="12" spans="2:7" x14ac:dyDescent="0.25">
      <c r="B12" s="229" t="s">
        <v>290</v>
      </c>
    </row>
    <row r="13" spans="2:7" x14ac:dyDescent="0.25">
      <c r="B13" s="229" t="s">
        <v>1044</v>
      </c>
    </row>
    <row r="14" spans="2:7" x14ac:dyDescent="0.25">
      <c r="B14" s="229" t="s">
        <v>1045</v>
      </c>
    </row>
    <row r="15" spans="2:7" x14ac:dyDescent="0.25">
      <c r="B15" s="229" t="s">
        <v>1043</v>
      </c>
    </row>
    <row r="16" spans="2:7" ht="6" customHeight="1" x14ac:dyDescent="0.25"/>
    <row r="17" spans="2:16" ht="2.25" customHeight="1" x14ac:dyDescent="0.25"/>
    <row r="18" spans="2:16" x14ac:dyDescent="0.25">
      <c r="B18" s="230" t="s">
        <v>291</v>
      </c>
    </row>
    <row r="19" spans="2:16" x14ac:dyDescent="0.25">
      <c r="B19" s="229" t="s">
        <v>292</v>
      </c>
    </row>
    <row r="21" spans="2:16" x14ac:dyDescent="0.25">
      <c r="B21" s="439" t="s">
        <v>293</v>
      </c>
      <c r="C21" s="439"/>
      <c r="D21" s="439"/>
      <c r="E21" s="452" t="s">
        <v>294</v>
      </c>
      <c r="F21" s="229" t="s">
        <v>1083</v>
      </c>
      <c r="I21" s="376"/>
      <c r="M21" s="376"/>
    </row>
    <row r="22" spans="2:16" x14ac:dyDescent="0.25">
      <c r="B22" s="454" t="s">
        <v>295</v>
      </c>
      <c r="C22" s="454"/>
      <c r="D22" s="454"/>
      <c r="E22" s="453" t="s">
        <v>1084</v>
      </c>
      <c r="F22" s="229" t="s">
        <v>1085</v>
      </c>
      <c r="K22" s="376"/>
      <c r="M22" s="376"/>
    </row>
    <row r="23" spans="2:16" x14ac:dyDescent="0.25">
      <c r="E23" s="431"/>
      <c r="I23" s="376"/>
    </row>
    <row r="25" spans="2:16" x14ac:dyDescent="0.25">
      <c r="B25" s="439" t="s">
        <v>296</v>
      </c>
      <c r="C25" s="439"/>
      <c r="D25" s="439"/>
      <c r="E25" s="439"/>
      <c r="F25" s="452" t="s">
        <v>294</v>
      </c>
      <c r="G25" s="229" t="s">
        <v>297</v>
      </c>
    </row>
    <row r="26" spans="2:16" ht="27" customHeight="1" x14ac:dyDescent="0.25">
      <c r="P26" s="229" t="s">
        <v>1091</v>
      </c>
    </row>
    <row r="27" spans="2:16" ht="30" customHeight="1" x14ac:dyDescent="0.25"/>
  </sheetData>
  <sheetProtection algorithmName="SHA-512" hashValue="bDw/Fjb2TBQP5t75VoIxdzx8PPrbP7QBRAFpNo5vi4R0FZmdOIywFv6okPPm9vRoMSAXnzGI2ceNIlpCJ9fBLQ==" saltValue="HM5GNh/VZKapQV3gN9R9oQ==" spinCount="100000" sheet="1" objects="1" scenarios="1" selectLockedCells="1" selectUnlockedCells="1"/>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AFFCC"/>
  </sheetPr>
  <dimension ref="A1:NW151"/>
  <sheetViews>
    <sheetView showGridLines="0" zoomScaleNormal="100" workbookViewId="0">
      <selection activeCell="D21" sqref="D21"/>
    </sheetView>
  </sheetViews>
  <sheetFormatPr defaultColWidth="9.140625" defaultRowHeight="15" x14ac:dyDescent="0.25"/>
  <cols>
    <col min="1" max="1" width="3.7109375" style="381" customWidth="1"/>
    <col min="2" max="2" width="3.42578125" style="229" customWidth="1"/>
    <col min="3" max="3" width="35.42578125" style="229" customWidth="1"/>
    <col min="4" max="4" width="16" style="229" customWidth="1"/>
    <col min="5" max="5" width="11.42578125" style="229" customWidth="1"/>
    <col min="6" max="6" width="12.42578125" style="229" customWidth="1"/>
    <col min="7" max="7" width="0.42578125" style="229" customWidth="1"/>
    <col min="8" max="8" width="35.5703125" style="229" customWidth="1"/>
    <col min="9" max="9" width="12.42578125" style="229" customWidth="1"/>
    <col min="10" max="10" width="11.42578125" style="229" customWidth="1"/>
    <col min="11" max="11" width="16.42578125" style="229" customWidth="1"/>
    <col min="12" max="12" width="12.42578125" style="229" customWidth="1"/>
    <col min="13" max="13" width="0.42578125" style="229" customWidth="1"/>
    <col min="14" max="14" width="28.5703125" style="229" customWidth="1"/>
    <col min="15" max="15" width="12.42578125" style="229" customWidth="1"/>
    <col min="16" max="16" width="11.42578125" style="229" customWidth="1"/>
    <col min="17" max="17" width="12.42578125" style="229" customWidth="1"/>
    <col min="18" max="18" width="0.42578125" style="229" customWidth="1"/>
    <col min="19" max="19" width="28.5703125" style="229" customWidth="1"/>
    <col min="20" max="20" width="12.42578125" style="229" customWidth="1"/>
    <col min="21" max="21" width="13.42578125" style="229" customWidth="1"/>
    <col min="22" max="22" width="16.42578125" style="229" customWidth="1"/>
    <col min="23" max="23" width="12.42578125" style="229" customWidth="1"/>
    <col min="24" max="24" width="9.140625" style="229" customWidth="1"/>
    <col min="25" max="25" width="42.42578125" style="229" customWidth="1"/>
    <col min="26" max="26" width="15.42578125" style="229" customWidth="1"/>
    <col min="27" max="27" width="9.140625" style="229"/>
    <col min="28" max="29" width="4.42578125" style="229" customWidth="1"/>
    <col min="30" max="30" width="24.42578125" style="229" customWidth="1"/>
    <col min="31" max="32" width="9.140625" style="229"/>
    <col min="33" max="33" width="3.42578125" style="229" customWidth="1"/>
    <col min="34" max="34" width="4.42578125" style="229" customWidth="1"/>
    <col min="35" max="35" width="1.42578125" style="229" customWidth="1"/>
    <col min="36" max="36" width="97.42578125" style="229" customWidth="1"/>
    <col min="37" max="37" width="11" style="229" customWidth="1"/>
    <col min="38" max="38" width="9.42578125" style="229" customWidth="1"/>
    <col min="39" max="39" width="1.42578125" style="229" customWidth="1"/>
    <col min="40" max="40" width="98" style="229" customWidth="1"/>
    <col min="41" max="41" width="20.42578125" style="229" customWidth="1"/>
    <col min="42" max="42" width="1.42578125" style="229" customWidth="1"/>
    <col min="43" max="43" width="42.85546875" style="229" customWidth="1"/>
    <col min="44" max="44" width="20.42578125" style="229" customWidth="1"/>
    <col min="45" max="45" width="1.42578125" style="229" customWidth="1"/>
    <col min="46" max="16384" width="9.140625" style="229"/>
  </cols>
  <sheetData>
    <row r="1" spans="1:36" customFormat="1" ht="24.95" customHeight="1" thickBot="1" x14ac:dyDescent="0.3">
      <c r="A1" s="384"/>
      <c r="B1" s="384"/>
      <c r="C1" s="384"/>
      <c r="D1" s="384"/>
      <c r="E1" s="384"/>
      <c r="F1" s="384"/>
      <c r="G1" s="384"/>
      <c r="H1" s="384"/>
      <c r="I1" s="384"/>
      <c r="J1" s="384"/>
      <c r="K1" s="384"/>
      <c r="L1" s="384"/>
      <c r="M1" s="384"/>
      <c r="N1" s="384"/>
      <c r="O1" s="384"/>
      <c r="P1" s="384"/>
      <c r="Q1" s="384"/>
      <c r="R1" s="384"/>
      <c r="S1" s="384"/>
      <c r="T1" s="384"/>
      <c r="U1" s="384"/>
      <c r="V1" s="384"/>
      <c r="W1" s="384"/>
      <c r="X1" s="384"/>
      <c r="Y1" s="384"/>
      <c r="Z1" s="384"/>
      <c r="AA1" s="384"/>
      <c r="AB1" s="384"/>
      <c r="AC1" s="384"/>
      <c r="AD1" s="384"/>
      <c r="AE1" s="384"/>
      <c r="AF1" s="384"/>
      <c r="AG1" s="384"/>
      <c r="AH1" s="384"/>
      <c r="AI1" s="384"/>
      <c r="AJ1" s="384"/>
    </row>
    <row r="2" spans="1:36" ht="30" customHeight="1" x14ac:dyDescent="0.35">
      <c r="A2" s="384"/>
      <c r="B2" s="399"/>
      <c r="C2" s="434" t="s">
        <v>958</v>
      </c>
      <c r="D2" s="401"/>
      <c r="E2" s="401"/>
      <c r="F2" s="401"/>
      <c r="G2" s="401"/>
      <c r="H2" s="401"/>
      <c r="I2" s="401"/>
      <c r="J2" s="401"/>
      <c r="K2" s="401"/>
      <c r="L2" s="401"/>
      <c r="M2" s="401"/>
      <c r="N2" s="401"/>
      <c r="O2" s="401"/>
      <c r="P2" s="401"/>
      <c r="Q2" s="401"/>
      <c r="R2" s="401"/>
      <c r="S2" s="401"/>
      <c r="T2" s="401"/>
      <c r="U2" s="401"/>
      <c r="V2" s="401"/>
      <c r="W2" s="401"/>
      <c r="X2" s="402"/>
      <c r="Y2" s="384"/>
      <c r="Z2" s="384"/>
      <c r="AA2" s="384"/>
      <c r="AB2" s="384"/>
      <c r="AC2" s="384"/>
      <c r="AD2" s="384"/>
      <c r="AE2" s="384"/>
      <c r="AF2" s="384"/>
      <c r="AG2" s="384"/>
      <c r="AH2" s="384"/>
      <c r="AI2" s="384"/>
      <c r="AJ2" s="384"/>
    </row>
    <row r="3" spans="1:36" x14ac:dyDescent="0.25">
      <c r="A3" s="384"/>
      <c r="B3" s="403"/>
      <c r="X3" s="419"/>
      <c r="Y3" s="384"/>
      <c r="Z3" s="384"/>
      <c r="AA3" s="384"/>
      <c r="AB3" s="384"/>
      <c r="AC3" s="384"/>
      <c r="AD3" s="384"/>
      <c r="AE3" s="384"/>
      <c r="AF3" s="384"/>
      <c r="AG3" s="384"/>
      <c r="AH3" s="384"/>
      <c r="AI3" s="384"/>
      <c r="AJ3" s="384"/>
    </row>
    <row r="4" spans="1:36" ht="15.75" x14ac:dyDescent="0.25">
      <c r="A4" s="384"/>
      <c r="B4" s="405"/>
      <c r="C4" s="392" t="s">
        <v>1041</v>
      </c>
      <c r="X4" s="419"/>
      <c r="Y4" s="384"/>
      <c r="Z4" s="384"/>
      <c r="AA4" s="384"/>
      <c r="AB4" s="384"/>
      <c r="AC4" s="384"/>
      <c r="AD4" s="384"/>
      <c r="AE4" s="384"/>
      <c r="AF4" s="384"/>
      <c r="AG4" s="384"/>
      <c r="AH4" s="384"/>
      <c r="AI4" s="384"/>
      <c r="AJ4" s="384"/>
    </row>
    <row r="5" spans="1:36" ht="15.75" x14ac:dyDescent="0.25">
      <c r="A5" s="384"/>
      <c r="B5" s="405"/>
      <c r="C5" s="392"/>
      <c r="D5" s="390"/>
      <c r="E5" s="420" t="s">
        <v>985</v>
      </c>
      <c r="F5" s="420" t="s">
        <v>109</v>
      </c>
      <c r="G5" s="390"/>
      <c r="H5" s="392" t="s">
        <v>153</v>
      </c>
      <c r="I5" s="390"/>
      <c r="J5" s="392" t="s">
        <v>214</v>
      </c>
      <c r="K5" s="390"/>
      <c r="L5" s="390"/>
      <c r="M5" s="390"/>
      <c r="N5" s="391" t="s">
        <v>149</v>
      </c>
      <c r="O5" s="421" t="s">
        <v>213</v>
      </c>
      <c r="P5" s="390"/>
      <c r="Q5" s="390"/>
      <c r="R5" s="390"/>
      <c r="S5" s="392"/>
      <c r="U5" s="392"/>
      <c r="V5" s="392"/>
      <c r="W5" s="392"/>
      <c r="X5" s="419"/>
      <c r="Y5" s="384"/>
      <c r="Z5" s="384"/>
      <c r="AA5" s="384"/>
      <c r="AB5" s="384"/>
      <c r="AC5" s="384"/>
      <c r="AD5" s="384"/>
      <c r="AE5" s="384"/>
      <c r="AF5" s="384"/>
      <c r="AG5" s="384"/>
      <c r="AH5" s="384"/>
      <c r="AI5" s="384"/>
      <c r="AJ5" s="384"/>
    </row>
    <row r="6" spans="1:36" s="373" customFormat="1" ht="15.75" x14ac:dyDescent="0.25">
      <c r="A6" s="385"/>
      <c r="B6" s="407"/>
      <c r="C6" s="393" t="s">
        <v>1052</v>
      </c>
      <c r="E6" s="438"/>
      <c r="F6" s="438"/>
      <c r="G6" s="393"/>
      <c r="H6" s="393" t="s">
        <v>1089</v>
      </c>
      <c r="I6" s="393"/>
      <c r="J6" s="438" t="s">
        <v>155</v>
      </c>
      <c r="K6" s="393"/>
      <c r="L6" s="393"/>
      <c r="M6" s="393"/>
      <c r="N6" s="374" t="s">
        <v>149</v>
      </c>
      <c r="O6" s="442">
        <v>7.0000000000000007E-2</v>
      </c>
      <c r="P6" s="393"/>
      <c r="Q6" s="393"/>
      <c r="R6" s="393"/>
      <c r="S6" s="393"/>
      <c r="U6" s="398"/>
      <c r="V6" s="393"/>
      <c r="W6" s="393"/>
      <c r="X6" s="410"/>
      <c r="Y6" s="385"/>
      <c r="Z6" s="385"/>
      <c r="AA6" s="385"/>
      <c r="AB6" s="385"/>
      <c r="AC6" s="385"/>
      <c r="AD6" s="385"/>
      <c r="AE6" s="385"/>
      <c r="AF6" s="385"/>
      <c r="AG6" s="385"/>
      <c r="AH6" s="385"/>
      <c r="AI6" s="385"/>
      <c r="AJ6" s="385"/>
    </row>
    <row r="7" spans="1:36" s="373" customFormat="1" ht="15.75" x14ac:dyDescent="0.25">
      <c r="A7" s="385"/>
      <c r="B7" s="407"/>
      <c r="C7" s="393" t="s">
        <v>1054</v>
      </c>
      <c r="E7" s="438"/>
      <c r="F7" s="438"/>
      <c r="G7" s="393"/>
      <c r="H7" s="393" t="s">
        <v>1090</v>
      </c>
      <c r="I7" s="393"/>
      <c r="J7" s="438" t="s">
        <v>155</v>
      </c>
      <c r="K7" s="393"/>
      <c r="L7" s="393"/>
      <c r="M7" s="393"/>
      <c r="N7" s="393"/>
      <c r="O7" s="393"/>
      <c r="P7" s="393"/>
      <c r="Q7" s="393"/>
      <c r="R7" s="393"/>
      <c r="S7" s="393"/>
      <c r="T7" s="393"/>
      <c r="U7" s="393"/>
      <c r="V7" s="393"/>
      <c r="W7" s="393"/>
      <c r="X7" s="410"/>
      <c r="Y7" s="385"/>
      <c r="Z7" s="385"/>
      <c r="AA7" s="385"/>
      <c r="AB7" s="385"/>
      <c r="AC7" s="385"/>
      <c r="AD7" s="385"/>
      <c r="AE7" s="385"/>
      <c r="AF7" s="385"/>
      <c r="AG7" s="385"/>
      <c r="AH7" s="385"/>
      <c r="AI7" s="385"/>
      <c r="AJ7" s="385"/>
    </row>
    <row r="8" spans="1:36" s="373" customFormat="1" ht="15.75" x14ac:dyDescent="0.25">
      <c r="A8" s="385"/>
      <c r="B8" s="407"/>
      <c r="C8" s="393" t="s">
        <v>1056</v>
      </c>
      <c r="E8" s="438"/>
      <c r="F8" s="438"/>
      <c r="G8" s="393"/>
      <c r="H8" s="393"/>
      <c r="I8" s="393"/>
      <c r="J8" s="393"/>
      <c r="K8" s="393"/>
      <c r="L8" s="393"/>
      <c r="M8" s="393"/>
      <c r="N8" s="393"/>
      <c r="O8" s="393"/>
      <c r="P8" s="393"/>
      <c r="Q8" s="393"/>
      <c r="R8" s="393"/>
      <c r="S8" s="393"/>
      <c r="T8" s="393"/>
      <c r="U8" s="393"/>
      <c r="V8" s="393"/>
      <c r="W8" s="393"/>
      <c r="X8" s="410"/>
      <c r="Y8" s="385"/>
      <c r="Z8" s="385"/>
      <c r="AA8" s="385"/>
      <c r="AB8" s="385"/>
      <c r="AC8" s="385"/>
      <c r="AD8" s="385"/>
      <c r="AE8" s="385"/>
      <c r="AF8" s="385"/>
      <c r="AG8" s="385"/>
      <c r="AH8" s="385"/>
      <c r="AI8" s="385"/>
      <c r="AJ8" s="385"/>
    </row>
    <row r="9" spans="1:36" s="373" customFormat="1" ht="15.75" x14ac:dyDescent="0.25">
      <c r="A9" s="385"/>
      <c r="B9" s="407"/>
      <c r="C9" s="393" t="s">
        <v>1053</v>
      </c>
      <c r="E9" s="437"/>
      <c r="F9" s="438"/>
      <c r="G9" s="393"/>
      <c r="H9" s="393"/>
      <c r="I9" s="393"/>
      <c r="J9" s="393"/>
      <c r="K9" s="393"/>
      <c r="L9" s="393"/>
      <c r="M9" s="393"/>
      <c r="N9" s="393"/>
      <c r="O9" s="393"/>
      <c r="P9" s="393"/>
      <c r="Q9" s="393"/>
      <c r="R9" s="393"/>
      <c r="S9" s="393"/>
      <c r="T9" s="393"/>
      <c r="U9" s="393"/>
      <c r="V9" s="393"/>
      <c r="W9" s="393"/>
      <c r="X9" s="410"/>
      <c r="Y9" s="385"/>
      <c r="Z9" s="385"/>
      <c r="AA9" s="385"/>
      <c r="AB9" s="385"/>
      <c r="AC9" s="385"/>
      <c r="AD9" s="385"/>
      <c r="AE9" s="385"/>
      <c r="AF9" s="385"/>
      <c r="AG9" s="385"/>
      <c r="AH9" s="385"/>
      <c r="AI9" s="385"/>
      <c r="AJ9" s="385"/>
    </row>
    <row r="10" spans="1:36" s="373" customFormat="1" ht="15.75" x14ac:dyDescent="0.25">
      <c r="A10" s="385"/>
      <c r="B10" s="407"/>
      <c r="C10" s="393" t="s">
        <v>1055</v>
      </c>
      <c r="E10" s="438"/>
      <c r="F10" s="438"/>
      <c r="G10" s="393"/>
      <c r="H10" s="391" t="s">
        <v>1000</v>
      </c>
      <c r="I10" s="393"/>
      <c r="J10" s="391" t="s">
        <v>206</v>
      </c>
      <c r="K10" s="393"/>
      <c r="L10" s="393"/>
      <c r="M10" s="393"/>
      <c r="N10" s="391" t="s">
        <v>972</v>
      </c>
      <c r="O10" s="441" t="s">
        <v>213</v>
      </c>
      <c r="P10" s="393"/>
      <c r="Q10" s="393"/>
      <c r="R10" s="393"/>
      <c r="S10" s="391" t="s">
        <v>250</v>
      </c>
      <c r="T10" s="393"/>
      <c r="U10" s="391" t="s">
        <v>975</v>
      </c>
      <c r="V10" s="393"/>
      <c r="W10" s="393"/>
      <c r="X10" s="410"/>
      <c r="Y10" s="385"/>
      <c r="Z10" s="385"/>
      <c r="AA10" s="385"/>
      <c r="AB10" s="385"/>
      <c r="AC10" s="385"/>
      <c r="AD10" s="385"/>
      <c r="AE10" s="385"/>
      <c r="AF10" s="385"/>
      <c r="AG10" s="385"/>
      <c r="AH10" s="385"/>
      <c r="AI10" s="385"/>
      <c r="AJ10" s="385"/>
    </row>
    <row r="11" spans="1:36" s="373" customFormat="1" ht="16.5" customHeight="1" x14ac:dyDescent="0.25">
      <c r="A11" s="385"/>
      <c r="B11" s="407"/>
      <c r="C11" s="393" t="s">
        <v>834</v>
      </c>
      <c r="E11" s="438"/>
      <c r="F11" s="438"/>
      <c r="G11" s="393"/>
      <c r="H11" s="393" t="s">
        <v>1001</v>
      </c>
      <c r="I11" s="393"/>
      <c r="J11" s="438"/>
      <c r="K11" s="393"/>
      <c r="L11" s="393"/>
      <c r="M11" s="393"/>
      <c r="N11" s="393" t="s">
        <v>972</v>
      </c>
      <c r="O11" s="509">
        <v>2.5000000000000001E-2</v>
      </c>
      <c r="P11" s="393"/>
      <c r="Q11" s="393"/>
      <c r="R11" s="393"/>
      <c r="S11" s="393" t="s">
        <v>251</v>
      </c>
      <c r="T11" s="393"/>
      <c r="U11" s="443"/>
      <c r="V11" s="393"/>
      <c r="W11" s="393"/>
      <c r="X11" s="410"/>
      <c r="Y11" s="385"/>
      <c r="Z11" s="385"/>
      <c r="AA11" s="385"/>
      <c r="AB11" s="385"/>
      <c r="AC11" s="385"/>
      <c r="AD11" s="385"/>
      <c r="AE11" s="385"/>
      <c r="AF11" s="385"/>
      <c r="AG11" s="385"/>
      <c r="AH11" s="385"/>
      <c r="AI11" s="385"/>
      <c r="AJ11" s="385"/>
    </row>
    <row r="12" spans="1:36" s="373" customFormat="1" ht="15.75" customHeight="1" x14ac:dyDescent="0.25">
      <c r="A12" s="385"/>
      <c r="B12" s="407"/>
      <c r="C12" s="602" t="str">
        <f>IF(AND(SUM(E6:E11)&gt;SUM(D18:D22,I18:I22),SUM(F6:F11)&gt;SUM(O18:O22,T18:T22)),"Note: number of specialised tenant allocations exceeds available number of dwellings in both affordable and social housing",IF(AND(SUM(E6:E11)&gt;SUM(D18:D22,I18:I22),SUM(F6:F11)&lt;=SUM(O18:O22,T18:T22)),"Note: number of specialised tenant allocations exceeds available number of dwellings in affordable housing",IF(AND(SUM(E6:E11)&lt;=SUM(D18:D22,I18:I22),SUM(F6:F11)&gt;SUM(O18:O22,T18:T22)),"Note: number of specialised tenant allocations exceeds available number of dwellings in social housing","")))</f>
        <v/>
      </c>
      <c r="D12" s="602"/>
      <c r="E12" s="602"/>
      <c r="F12" s="602"/>
      <c r="G12" s="393"/>
      <c r="H12" s="393"/>
      <c r="I12" s="393"/>
      <c r="J12" s="393"/>
      <c r="K12" s="393"/>
      <c r="L12" s="393"/>
      <c r="M12" s="393"/>
      <c r="P12" s="393"/>
      <c r="Q12" s="393"/>
      <c r="R12" s="393"/>
      <c r="S12" s="393"/>
      <c r="T12" s="393"/>
      <c r="U12" s="393"/>
      <c r="V12" s="393"/>
      <c r="W12" s="393"/>
      <c r="X12" s="410"/>
      <c r="Y12" s="385"/>
      <c r="Z12" s="385"/>
      <c r="AA12" s="385"/>
      <c r="AB12" s="385"/>
      <c r="AC12" s="385"/>
      <c r="AD12" s="385"/>
      <c r="AE12" s="385"/>
      <c r="AF12" s="385"/>
      <c r="AG12" s="385"/>
      <c r="AH12" s="385"/>
      <c r="AI12" s="385"/>
      <c r="AJ12" s="385"/>
    </row>
    <row r="13" spans="1:36" s="373" customFormat="1" ht="15.75" x14ac:dyDescent="0.25">
      <c r="A13" s="385"/>
      <c r="B13" s="407"/>
      <c r="C13" s="602"/>
      <c r="D13" s="602"/>
      <c r="E13" s="602"/>
      <c r="F13" s="602"/>
      <c r="G13" s="393"/>
      <c r="H13" s="393"/>
      <c r="I13" s="393"/>
      <c r="J13" s="393"/>
      <c r="K13" s="393"/>
      <c r="L13" s="393"/>
      <c r="M13" s="393"/>
      <c r="N13" s="393"/>
      <c r="O13" s="393"/>
      <c r="P13" s="393"/>
      <c r="Q13" s="393"/>
      <c r="R13" s="393"/>
      <c r="S13" s="393"/>
      <c r="T13" s="393"/>
      <c r="U13" s="393"/>
      <c r="V13" s="393"/>
      <c r="W13" s="393"/>
      <c r="X13" s="410"/>
      <c r="Y13" s="385"/>
      <c r="Z13" s="385"/>
      <c r="AA13" s="385"/>
      <c r="AB13" s="385"/>
      <c r="AC13" s="385"/>
      <c r="AD13" s="385"/>
      <c r="AE13" s="385"/>
      <c r="AF13" s="385"/>
      <c r="AG13" s="385"/>
      <c r="AH13" s="385"/>
      <c r="AI13" s="385"/>
      <c r="AJ13" s="385"/>
    </row>
    <row r="14" spans="1:36" s="373" customFormat="1" ht="15.75" x14ac:dyDescent="0.25">
      <c r="A14" s="385"/>
      <c r="B14" s="422"/>
      <c r="C14" s="391"/>
      <c r="D14" s="393"/>
      <c r="E14" s="393"/>
      <c r="F14" s="393"/>
      <c r="G14" s="393"/>
      <c r="H14" s="393"/>
      <c r="I14" s="393"/>
      <c r="J14" s="393"/>
      <c r="K14" s="393"/>
      <c r="L14" s="393"/>
      <c r="M14" s="393"/>
      <c r="N14" s="393"/>
      <c r="O14" s="393"/>
      <c r="P14" s="393"/>
      <c r="Q14" s="393"/>
      <c r="R14" s="393"/>
      <c r="S14" s="393"/>
      <c r="T14" s="393"/>
      <c r="U14" s="393"/>
      <c r="V14" s="393"/>
      <c r="W14" s="393"/>
      <c r="X14" s="410"/>
      <c r="Y14" s="385"/>
      <c r="Z14" s="385"/>
      <c r="AA14" s="385"/>
      <c r="AB14" s="385"/>
      <c r="AC14" s="385"/>
      <c r="AD14" s="385"/>
      <c r="AE14" s="385"/>
      <c r="AF14" s="385"/>
      <c r="AG14" s="385"/>
      <c r="AH14" s="385"/>
      <c r="AI14" s="385"/>
      <c r="AJ14" s="385"/>
    </row>
    <row r="15" spans="1:36" s="373" customFormat="1" ht="30" customHeight="1" x14ac:dyDescent="0.25">
      <c r="A15" s="385"/>
      <c r="B15" s="407"/>
      <c r="C15" s="391" t="s">
        <v>1042</v>
      </c>
      <c r="D15" s="393"/>
      <c r="E15" s="393"/>
      <c r="F15" s="391"/>
      <c r="G15" s="393"/>
      <c r="H15" s="393"/>
      <c r="I15" s="393"/>
      <c r="J15" s="393"/>
      <c r="K15" s="393"/>
      <c r="L15" s="393"/>
      <c r="M15" s="393"/>
      <c r="N15" s="393"/>
      <c r="O15" s="393"/>
      <c r="P15" s="393"/>
      <c r="Q15" s="393"/>
      <c r="R15" s="393"/>
      <c r="S15" s="393"/>
      <c r="T15" s="393"/>
      <c r="U15" s="393"/>
      <c r="V15" s="393"/>
      <c r="W15" s="393"/>
      <c r="X15" s="410"/>
      <c r="Y15" s="385"/>
      <c r="Z15" s="385"/>
      <c r="AA15" s="385"/>
      <c r="AB15" s="385"/>
      <c r="AC15" s="385"/>
      <c r="AD15" s="385"/>
      <c r="AE15" s="385"/>
      <c r="AF15" s="385"/>
      <c r="AG15" s="385"/>
      <c r="AH15" s="385"/>
      <c r="AI15" s="385"/>
      <c r="AJ15" s="385"/>
    </row>
    <row r="16" spans="1:36" s="373" customFormat="1" ht="28.5" customHeight="1" x14ac:dyDescent="0.25">
      <c r="A16" s="385"/>
      <c r="B16" s="405"/>
      <c r="C16" s="391" t="s">
        <v>2</v>
      </c>
      <c r="D16" s="391"/>
      <c r="E16" s="391"/>
      <c r="F16" s="391"/>
      <c r="G16" s="391"/>
      <c r="H16" s="391" t="s">
        <v>2</v>
      </c>
      <c r="I16" s="391"/>
      <c r="J16" s="391"/>
      <c r="K16" s="391"/>
      <c r="L16" s="391"/>
      <c r="M16" s="391"/>
      <c r="N16" s="391" t="s">
        <v>3</v>
      </c>
      <c r="O16" s="391"/>
      <c r="P16" s="391"/>
      <c r="Q16" s="391"/>
      <c r="R16" s="391"/>
      <c r="S16" s="391" t="s">
        <v>3</v>
      </c>
      <c r="T16" s="393"/>
      <c r="U16" s="393"/>
      <c r="V16" s="393"/>
      <c r="W16" s="393"/>
      <c r="X16" s="419"/>
      <c r="Y16" s="385"/>
      <c r="Z16" s="385"/>
      <c r="AA16" s="385"/>
      <c r="AB16" s="385"/>
      <c r="AC16" s="385"/>
      <c r="AD16" s="385"/>
      <c r="AE16" s="385"/>
      <c r="AF16" s="385"/>
      <c r="AG16" s="385"/>
      <c r="AH16" s="385"/>
      <c r="AI16" s="385"/>
      <c r="AJ16" s="385"/>
    </row>
    <row r="17" spans="1:387" s="376" customFormat="1" ht="31.5" x14ac:dyDescent="0.25">
      <c r="A17" s="386"/>
      <c r="B17" s="407"/>
      <c r="C17" s="423" t="s">
        <v>4</v>
      </c>
      <c r="D17" s="423" t="s">
        <v>970</v>
      </c>
      <c r="E17" s="423" t="s">
        <v>207</v>
      </c>
      <c r="F17" s="423" t="s">
        <v>971</v>
      </c>
      <c r="G17" s="423"/>
      <c r="H17" s="423" t="s">
        <v>5</v>
      </c>
      <c r="I17" s="423" t="s">
        <v>970</v>
      </c>
      <c r="J17" s="423" t="s">
        <v>207</v>
      </c>
      <c r="K17" s="423" t="s">
        <v>974</v>
      </c>
      <c r="L17" s="423" t="s">
        <v>971</v>
      </c>
      <c r="M17" s="423"/>
      <c r="N17" s="423" t="s">
        <v>4</v>
      </c>
      <c r="O17" s="423" t="s">
        <v>970</v>
      </c>
      <c r="P17" s="423" t="s">
        <v>207</v>
      </c>
      <c r="Q17" s="423" t="s">
        <v>971</v>
      </c>
      <c r="R17" s="423"/>
      <c r="S17" s="423" t="s">
        <v>5</v>
      </c>
      <c r="T17" s="423" t="s">
        <v>970</v>
      </c>
      <c r="U17" s="423" t="s">
        <v>207</v>
      </c>
      <c r="V17" s="423" t="s">
        <v>974</v>
      </c>
      <c r="W17" s="423" t="s">
        <v>971</v>
      </c>
      <c r="X17" s="410"/>
      <c r="Y17" s="386"/>
      <c r="Z17" s="386"/>
      <c r="AA17" s="386"/>
      <c r="AB17" s="386"/>
      <c r="AC17" s="386"/>
      <c r="AD17" s="386"/>
      <c r="AE17" s="386"/>
      <c r="AF17" s="386"/>
      <c r="AG17" s="386"/>
      <c r="AH17" s="386"/>
      <c r="AI17" s="386"/>
      <c r="AJ17" s="386"/>
    </row>
    <row r="18" spans="1:387" s="373" customFormat="1" ht="18" customHeight="1" x14ac:dyDescent="0.25">
      <c r="A18" s="385"/>
      <c r="B18" s="407"/>
      <c r="C18" s="393" t="s">
        <v>6</v>
      </c>
      <c r="D18" s="444"/>
      <c r="E18" s="445">
        <v>50</v>
      </c>
      <c r="F18" s="445"/>
      <c r="G18" s="393"/>
      <c r="H18" s="393" t="s">
        <v>10</v>
      </c>
      <c r="I18" s="444"/>
      <c r="J18" s="445">
        <v>14</v>
      </c>
      <c r="K18" s="445"/>
      <c r="L18" s="445"/>
      <c r="M18" s="393"/>
      <c r="N18" s="393" t="s">
        <v>6</v>
      </c>
      <c r="O18" s="444"/>
      <c r="P18" s="445">
        <v>50</v>
      </c>
      <c r="Q18" s="445"/>
      <c r="R18" s="393"/>
      <c r="S18" s="393" t="s">
        <v>10</v>
      </c>
      <c r="T18" s="444"/>
      <c r="U18" s="445">
        <v>35</v>
      </c>
      <c r="V18" s="445"/>
      <c r="W18" s="455"/>
      <c r="X18" s="410"/>
      <c r="Y18" s="385"/>
      <c r="Z18" s="385"/>
      <c r="AA18" s="385"/>
      <c r="AB18" s="385"/>
      <c r="AC18" s="385"/>
      <c r="AD18" s="385"/>
      <c r="AE18" s="385"/>
      <c r="AF18" s="385"/>
      <c r="AG18" s="385"/>
      <c r="AH18" s="385"/>
      <c r="AI18" s="385"/>
      <c r="AJ18" s="385"/>
    </row>
    <row r="19" spans="1:387" s="373" customFormat="1" ht="14.85" customHeight="1" x14ac:dyDescent="0.25">
      <c r="A19" s="385"/>
      <c r="B19" s="407"/>
      <c r="C19" s="393" t="s">
        <v>7</v>
      </c>
      <c r="D19" s="444"/>
      <c r="E19" s="445">
        <v>75</v>
      </c>
      <c r="F19" s="445"/>
      <c r="G19" s="393"/>
      <c r="H19" s="393" t="s">
        <v>6</v>
      </c>
      <c r="I19" s="444"/>
      <c r="J19" s="445">
        <v>50</v>
      </c>
      <c r="K19" s="445"/>
      <c r="L19" s="445"/>
      <c r="M19" s="393"/>
      <c r="N19" s="393" t="s">
        <v>7</v>
      </c>
      <c r="O19" s="444"/>
      <c r="P19" s="445">
        <v>75</v>
      </c>
      <c r="Q19" s="445"/>
      <c r="R19" s="393"/>
      <c r="S19" s="393" t="s">
        <v>6</v>
      </c>
      <c r="T19" s="444"/>
      <c r="U19" s="445">
        <v>50</v>
      </c>
      <c r="V19" s="445"/>
      <c r="W19" s="455"/>
      <c r="X19" s="410"/>
      <c r="Y19" s="385"/>
      <c r="Z19" s="385"/>
      <c r="AA19" s="385"/>
      <c r="AB19" s="385"/>
      <c r="AC19" s="385"/>
      <c r="AD19" s="385"/>
      <c r="AE19" s="385"/>
      <c r="AF19" s="385"/>
      <c r="AG19" s="385"/>
      <c r="AH19" s="385"/>
      <c r="AI19" s="385"/>
      <c r="AJ19" s="385"/>
      <c r="AK19" s="383"/>
      <c r="AL19" s="383"/>
      <c r="AM19" s="383"/>
      <c r="AN19" s="383"/>
      <c r="AO19" s="383"/>
      <c r="AP19" s="383"/>
      <c r="AQ19" s="383"/>
      <c r="AR19" s="383"/>
      <c r="AS19" s="383"/>
      <c r="AT19" s="383"/>
      <c r="AU19" s="383"/>
      <c r="AV19" s="383"/>
      <c r="AW19" s="383"/>
      <c r="AX19" s="383"/>
      <c r="AY19" s="383"/>
      <c r="AZ19" s="383"/>
      <c r="BA19" s="383"/>
      <c r="BB19" s="383"/>
      <c r="BC19" s="383"/>
      <c r="BD19" s="383"/>
      <c r="BE19" s="383"/>
      <c r="BF19" s="383"/>
      <c r="BG19" s="383"/>
      <c r="BH19" s="383"/>
      <c r="BI19" s="383"/>
      <c r="BJ19" s="383"/>
      <c r="BK19" s="383"/>
      <c r="BL19" s="383"/>
      <c r="BM19" s="383"/>
      <c r="BN19" s="383"/>
      <c r="BO19" s="383"/>
      <c r="BP19" s="383"/>
      <c r="BQ19" s="383"/>
      <c r="BR19" s="383"/>
      <c r="BS19" s="383"/>
      <c r="BT19" s="383"/>
      <c r="BU19" s="383"/>
      <c r="BV19" s="383"/>
      <c r="BW19" s="383"/>
      <c r="BX19" s="383"/>
      <c r="BY19" s="383"/>
      <c r="BZ19" s="383"/>
      <c r="CA19" s="383"/>
      <c r="CB19" s="383"/>
      <c r="CC19" s="383"/>
      <c r="CD19" s="383"/>
      <c r="CE19" s="383"/>
      <c r="CF19" s="383"/>
      <c r="CG19" s="383"/>
      <c r="CH19" s="383"/>
      <c r="CI19" s="383"/>
      <c r="CJ19" s="383"/>
      <c r="CK19" s="383"/>
      <c r="CL19" s="383"/>
      <c r="CM19" s="383"/>
      <c r="CN19" s="383"/>
      <c r="CO19" s="383"/>
      <c r="CP19" s="383"/>
      <c r="CQ19" s="383"/>
      <c r="CR19" s="383"/>
      <c r="CS19" s="383"/>
      <c r="CT19" s="383"/>
      <c r="CU19" s="383"/>
      <c r="CV19" s="383"/>
      <c r="CW19" s="383"/>
      <c r="CX19" s="383"/>
      <c r="CY19" s="383"/>
      <c r="CZ19" s="383"/>
      <c r="DA19" s="383"/>
      <c r="DB19" s="383"/>
      <c r="DC19" s="383"/>
      <c r="DD19" s="383"/>
      <c r="DE19" s="383"/>
      <c r="DF19" s="383"/>
      <c r="DG19" s="383"/>
      <c r="DH19" s="383"/>
      <c r="DI19" s="383"/>
      <c r="DJ19" s="383"/>
      <c r="DK19" s="383"/>
      <c r="DL19" s="383"/>
      <c r="DM19" s="383"/>
      <c r="DN19" s="383"/>
      <c r="DO19" s="383"/>
      <c r="DP19" s="383"/>
      <c r="DQ19" s="383"/>
      <c r="DR19" s="383"/>
      <c r="DS19" s="383"/>
      <c r="DT19" s="383"/>
      <c r="DU19" s="383"/>
      <c r="DV19" s="383"/>
      <c r="DW19" s="383"/>
      <c r="DX19" s="383"/>
      <c r="DY19" s="383"/>
      <c r="DZ19" s="383"/>
      <c r="EA19" s="383"/>
      <c r="EB19" s="383"/>
      <c r="EC19" s="383"/>
      <c r="ED19" s="383"/>
      <c r="EE19" s="383"/>
      <c r="EF19" s="383"/>
      <c r="EG19" s="383"/>
      <c r="EH19" s="383"/>
      <c r="EI19" s="383"/>
      <c r="EJ19" s="383"/>
      <c r="EK19" s="383"/>
      <c r="EL19" s="383"/>
      <c r="EM19" s="383"/>
      <c r="EN19" s="383"/>
      <c r="EO19" s="383"/>
      <c r="EP19" s="383"/>
      <c r="EQ19" s="383"/>
      <c r="ER19" s="383"/>
      <c r="ES19" s="383"/>
      <c r="ET19" s="383"/>
      <c r="EU19" s="383"/>
      <c r="EV19" s="383"/>
      <c r="EW19" s="383"/>
      <c r="EX19" s="383"/>
      <c r="EY19" s="383"/>
      <c r="EZ19" s="383"/>
      <c r="FA19" s="383"/>
      <c r="FB19" s="383"/>
      <c r="FC19" s="383"/>
      <c r="FD19" s="383"/>
      <c r="FE19" s="383"/>
      <c r="FF19" s="383"/>
      <c r="FG19" s="383"/>
      <c r="FH19" s="383"/>
      <c r="FI19" s="383"/>
      <c r="FJ19" s="383"/>
      <c r="FK19" s="383"/>
      <c r="FL19" s="383"/>
      <c r="FM19" s="383"/>
      <c r="FN19" s="383"/>
      <c r="FO19" s="383"/>
      <c r="FP19" s="383"/>
      <c r="FQ19" s="383"/>
      <c r="FR19" s="383"/>
      <c r="FS19" s="383"/>
      <c r="FT19" s="383"/>
      <c r="FU19" s="383"/>
      <c r="FV19" s="383"/>
      <c r="FW19" s="383"/>
      <c r="FX19" s="383"/>
      <c r="FY19" s="383"/>
      <c r="FZ19" s="383"/>
      <c r="GA19" s="383"/>
      <c r="GB19" s="383"/>
      <c r="GC19" s="383"/>
      <c r="GD19" s="383"/>
      <c r="GE19" s="383"/>
      <c r="GF19" s="383"/>
      <c r="GG19" s="383"/>
      <c r="GH19" s="383"/>
      <c r="GI19" s="383"/>
      <c r="GJ19" s="383"/>
      <c r="GK19" s="383"/>
      <c r="GL19" s="383"/>
      <c r="GM19" s="383"/>
      <c r="GN19" s="383"/>
      <c r="GO19" s="383"/>
      <c r="GP19" s="383"/>
      <c r="GQ19" s="383"/>
      <c r="GR19" s="383"/>
      <c r="GS19" s="383"/>
      <c r="GT19" s="383"/>
      <c r="GU19" s="383"/>
      <c r="GV19" s="383"/>
      <c r="GW19" s="383"/>
      <c r="GX19" s="383"/>
      <c r="GY19" s="383"/>
      <c r="GZ19" s="383"/>
      <c r="HA19" s="383"/>
      <c r="HB19" s="383"/>
      <c r="HC19" s="383"/>
      <c r="HD19" s="383"/>
      <c r="HE19" s="383"/>
      <c r="HF19" s="383"/>
      <c r="HG19" s="383"/>
      <c r="HH19" s="383"/>
      <c r="HI19" s="383"/>
      <c r="HJ19" s="383"/>
      <c r="HK19" s="383"/>
      <c r="HL19" s="383"/>
      <c r="HM19" s="383"/>
      <c r="HN19" s="383"/>
      <c r="HO19" s="383"/>
      <c r="HP19" s="383"/>
      <c r="HQ19" s="383"/>
      <c r="HR19" s="383"/>
      <c r="HS19" s="383"/>
      <c r="HT19" s="383"/>
      <c r="HU19" s="383"/>
      <c r="HV19" s="383"/>
      <c r="HW19" s="383"/>
      <c r="HX19" s="383"/>
      <c r="HY19" s="383"/>
      <c r="HZ19" s="383"/>
      <c r="IA19" s="383"/>
      <c r="IB19" s="383"/>
      <c r="IC19" s="383"/>
      <c r="ID19" s="383"/>
      <c r="IE19" s="383"/>
      <c r="IF19" s="383"/>
      <c r="IG19" s="383"/>
      <c r="IH19" s="383"/>
      <c r="II19" s="383"/>
      <c r="IJ19" s="383"/>
      <c r="IK19" s="383"/>
      <c r="IL19" s="383"/>
      <c r="IM19" s="383"/>
      <c r="IN19" s="383"/>
      <c r="IO19" s="383"/>
      <c r="IP19" s="383"/>
      <c r="IQ19" s="383"/>
      <c r="IR19" s="383"/>
      <c r="IS19" s="383"/>
      <c r="IT19" s="383"/>
      <c r="IU19" s="383"/>
      <c r="IV19" s="383"/>
      <c r="IW19" s="383"/>
      <c r="IX19" s="383"/>
      <c r="IY19" s="383"/>
      <c r="IZ19" s="383"/>
      <c r="JA19" s="383"/>
      <c r="JB19" s="383"/>
      <c r="JC19" s="383"/>
      <c r="JD19" s="383"/>
      <c r="JE19" s="383"/>
      <c r="JF19" s="383"/>
      <c r="JG19" s="383"/>
      <c r="JH19" s="383"/>
      <c r="JI19" s="383"/>
      <c r="JJ19" s="383"/>
      <c r="JK19" s="383"/>
      <c r="JL19" s="383"/>
      <c r="JM19" s="383"/>
      <c r="JN19" s="383"/>
      <c r="JO19" s="383"/>
      <c r="JP19" s="383"/>
      <c r="JQ19" s="383"/>
      <c r="JR19" s="383"/>
      <c r="JS19" s="383"/>
      <c r="JT19" s="383"/>
      <c r="JU19" s="383"/>
      <c r="JV19" s="383"/>
      <c r="JW19" s="383"/>
      <c r="JX19" s="383"/>
      <c r="JY19" s="383"/>
      <c r="JZ19" s="383"/>
      <c r="KA19" s="383"/>
      <c r="KB19" s="383"/>
      <c r="KC19" s="383"/>
      <c r="KD19" s="383"/>
      <c r="KE19" s="383"/>
      <c r="KF19" s="383"/>
      <c r="KG19" s="383"/>
      <c r="KH19" s="383"/>
      <c r="KI19" s="383"/>
      <c r="KJ19" s="383"/>
      <c r="KK19" s="383"/>
      <c r="KL19" s="383"/>
      <c r="KM19" s="383"/>
      <c r="KN19" s="383"/>
      <c r="KO19" s="383"/>
      <c r="KP19" s="383"/>
      <c r="KQ19" s="383"/>
      <c r="KR19" s="383"/>
      <c r="KS19" s="383"/>
      <c r="KT19" s="383"/>
      <c r="KU19" s="383"/>
      <c r="KV19" s="383"/>
      <c r="KW19" s="383"/>
      <c r="KX19" s="383"/>
      <c r="KY19" s="383"/>
      <c r="KZ19" s="383"/>
      <c r="LA19" s="383"/>
      <c r="LB19" s="383"/>
      <c r="LC19" s="383"/>
      <c r="LD19" s="383"/>
      <c r="LE19" s="383"/>
      <c r="LF19" s="383"/>
      <c r="LG19" s="383"/>
      <c r="LH19" s="383"/>
      <c r="LI19" s="383"/>
      <c r="LJ19" s="383"/>
      <c r="LK19" s="383"/>
      <c r="LL19" s="383"/>
      <c r="LM19" s="383"/>
      <c r="LN19" s="383"/>
      <c r="LO19" s="383"/>
      <c r="LP19" s="383"/>
      <c r="LQ19" s="383"/>
      <c r="LR19" s="383"/>
      <c r="LS19" s="383"/>
      <c r="LT19" s="383"/>
      <c r="LU19" s="383"/>
      <c r="LV19" s="383"/>
      <c r="LW19" s="383"/>
      <c r="LX19" s="383"/>
      <c r="LY19" s="383"/>
      <c r="LZ19" s="383"/>
      <c r="MA19" s="383"/>
      <c r="MB19" s="383"/>
      <c r="MC19" s="383"/>
      <c r="MD19" s="383"/>
      <c r="ME19" s="383"/>
      <c r="MF19" s="383"/>
      <c r="MG19" s="383"/>
      <c r="MH19" s="383"/>
      <c r="MI19" s="383"/>
      <c r="MJ19" s="383"/>
      <c r="MK19" s="383"/>
      <c r="ML19" s="383"/>
      <c r="MM19" s="383"/>
      <c r="MN19" s="383"/>
      <c r="MO19" s="383"/>
      <c r="MP19" s="383"/>
      <c r="MQ19" s="383"/>
      <c r="MR19" s="383"/>
      <c r="MS19" s="383"/>
      <c r="MT19" s="383"/>
      <c r="MU19" s="383"/>
      <c r="MV19" s="383"/>
      <c r="MW19" s="383"/>
      <c r="MX19" s="383"/>
      <c r="MY19" s="383"/>
      <c r="MZ19" s="383"/>
      <c r="NA19" s="383"/>
      <c r="NB19" s="383"/>
      <c r="NC19" s="383"/>
      <c r="ND19" s="383"/>
      <c r="NE19" s="383"/>
      <c r="NF19" s="383"/>
      <c r="NG19" s="383"/>
      <c r="NH19" s="383"/>
      <c r="NI19" s="383"/>
      <c r="NJ19" s="383"/>
      <c r="NK19" s="383"/>
      <c r="NL19" s="383"/>
      <c r="NM19" s="383"/>
      <c r="NN19" s="383"/>
      <c r="NO19" s="383"/>
      <c r="NP19" s="383"/>
      <c r="NQ19" s="383"/>
      <c r="NR19" s="383"/>
      <c r="NS19" s="383"/>
      <c r="NT19" s="383"/>
      <c r="NU19" s="383"/>
      <c r="NV19" s="383"/>
      <c r="NW19" s="383"/>
    </row>
    <row r="20" spans="1:387" s="373" customFormat="1" ht="15.75" x14ac:dyDescent="0.25">
      <c r="A20" s="385"/>
      <c r="B20" s="407"/>
      <c r="C20" s="393" t="s">
        <v>8</v>
      </c>
      <c r="D20" s="444"/>
      <c r="E20" s="445">
        <v>85</v>
      </c>
      <c r="F20" s="445"/>
      <c r="G20" s="393"/>
      <c r="H20" s="393" t="s">
        <v>7</v>
      </c>
      <c r="I20" s="444"/>
      <c r="J20" s="445">
        <v>75</v>
      </c>
      <c r="K20" s="445"/>
      <c r="L20" s="445"/>
      <c r="M20" s="393"/>
      <c r="N20" s="393" t="s">
        <v>8</v>
      </c>
      <c r="O20" s="444"/>
      <c r="P20" s="445">
        <v>85</v>
      </c>
      <c r="Q20" s="445"/>
      <c r="R20" s="393"/>
      <c r="S20" s="393" t="s">
        <v>7</v>
      </c>
      <c r="T20" s="444"/>
      <c r="U20" s="445">
        <v>75</v>
      </c>
      <c r="V20" s="445"/>
      <c r="W20" s="455"/>
      <c r="X20" s="410"/>
      <c r="Y20" s="385"/>
      <c r="Z20" s="385"/>
      <c r="AA20" s="385"/>
      <c r="AB20" s="385"/>
      <c r="AC20" s="385"/>
      <c r="AD20" s="385"/>
      <c r="AE20" s="385"/>
      <c r="AF20" s="385"/>
      <c r="AG20" s="385"/>
      <c r="AH20" s="385"/>
      <c r="AI20" s="385"/>
      <c r="AJ20" s="385"/>
      <c r="AK20" s="383"/>
      <c r="AL20" s="383"/>
      <c r="AM20" s="383"/>
      <c r="AN20" s="383"/>
      <c r="AO20" s="383"/>
      <c r="AP20" s="383"/>
      <c r="AQ20" s="383"/>
      <c r="AR20" s="383"/>
      <c r="AS20" s="383"/>
      <c r="AT20" s="383"/>
      <c r="AU20" s="383"/>
      <c r="AV20" s="383"/>
      <c r="AW20" s="383"/>
      <c r="AX20" s="383"/>
      <c r="AY20" s="383"/>
      <c r="AZ20" s="383"/>
      <c r="BA20" s="383"/>
      <c r="BB20" s="383"/>
      <c r="BC20" s="383"/>
      <c r="BD20" s="383"/>
      <c r="BE20" s="383"/>
      <c r="BF20" s="383"/>
      <c r="BG20" s="383"/>
      <c r="BH20" s="383"/>
      <c r="BI20" s="383"/>
      <c r="BJ20" s="383"/>
      <c r="BK20" s="383"/>
      <c r="BL20" s="383"/>
      <c r="BM20" s="383"/>
      <c r="BN20" s="383"/>
      <c r="BO20" s="383"/>
      <c r="BP20" s="383"/>
      <c r="BQ20" s="383"/>
      <c r="BR20" s="383"/>
      <c r="BS20" s="383"/>
      <c r="BT20" s="383"/>
      <c r="BU20" s="383"/>
      <c r="BV20" s="383"/>
      <c r="BW20" s="383"/>
      <c r="BX20" s="383"/>
      <c r="BY20" s="383"/>
      <c r="BZ20" s="383"/>
      <c r="CA20" s="383"/>
      <c r="CB20" s="383"/>
      <c r="CC20" s="383"/>
      <c r="CD20" s="383"/>
      <c r="CE20" s="383"/>
      <c r="CF20" s="383"/>
      <c r="CG20" s="383"/>
      <c r="CH20" s="383"/>
      <c r="CI20" s="383"/>
      <c r="CJ20" s="383"/>
      <c r="CK20" s="383"/>
      <c r="CL20" s="383"/>
      <c r="CM20" s="383"/>
      <c r="CN20" s="383"/>
      <c r="CO20" s="383"/>
      <c r="CP20" s="383"/>
      <c r="CQ20" s="383"/>
      <c r="CR20" s="383"/>
      <c r="CS20" s="383"/>
      <c r="CT20" s="383"/>
      <c r="CU20" s="383"/>
      <c r="CV20" s="383"/>
      <c r="CW20" s="383"/>
      <c r="CX20" s="383"/>
      <c r="CY20" s="383"/>
      <c r="CZ20" s="383"/>
      <c r="DA20" s="383"/>
      <c r="DB20" s="383"/>
      <c r="DC20" s="383"/>
      <c r="DD20" s="383"/>
      <c r="DE20" s="383"/>
      <c r="DF20" s="383"/>
      <c r="DG20" s="383"/>
      <c r="DH20" s="383"/>
      <c r="DI20" s="383"/>
      <c r="DJ20" s="383"/>
      <c r="DK20" s="383"/>
      <c r="DL20" s="383"/>
      <c r="DM20" s="383"/>
      <c r="DN20" s="383"/>
      <c r="DO20" s="383"/>
      <c r="DP20" s="383"/>
      <c r="DQ20" s="383"/>
      <c r="DR20" s="383"/>
      <c r="DS20" s="383"/>
      <c r="DT20" s="383"/>
      <c r="DU20" s="383"/>
      <c r="DV20" s="383"/>
      <c r="DW20" s="383"/>
      <c r="DX20" s="383"/>
      <c r="DY20" s="383"/>
      <c r="DZ20" s="383"/>
      <c r="EA20" s="383"/>
      <c r="EB20" s="383"/>
      <c r="EC20" s="383"/>
      <c r="ED20" s="383"/>
      <c r="EE20" s="383"/>
      <c r="EF20" s="383"/>
      <c r="EG20" s="383"/>
      <c r="EH20" s="383"/>
      <c r="EI20" s="383"/>
      <c r="EJ20" s="383"/>
      <c r="EK20" s="383"/>
      <c r="EL20" s="383"/>
      <c r="EM20" s="383"/>
      <c r="EN20" s="383"/>
      <c r="EO20" s="383"/>
      <c r="EP20" s="383"/>
      <c r="EQ20" s="383"/>
      <c r="ER20" s="383"/>
      <c r="ES20" s="383"/>
      <c r="ET20" s="383"/>
      <c r="EU20" s="383"/>
      <c r="EV20" s="383"/>
      <c r="EW20" s="383"/>
      <c r="EX20" s="383"/>
      <c r="EY20" s="383"/>
      <c r="EZ20" s="383"/>
      <c r="FA20" s="383"/>
      <c r="FB20" s="383"/>
      <c r="FC20" s="383"/>
      <c r="FD20" s="383"/>
      <c r="FE20" s="383"/>
      <c r="FF20" s="383"/>
      <c r="FG20" s="383"/>
      <c r="FH20" s="383"/>
      <c r="FI20" s="383"/>
      <c r="FJ20" s="383"/>
      <c r="FK20" s="383"/>
      <c r="FL20" s="383"/>
      <c r="FM20" s="383"/>
      <c r="FN20" s="383"/>
      <c r="FO20" s="383"/>
      <c r="FP20" s="383"/>
      <c r="FQ20" s="383"/>
      <c r="FR20" s="383"/>
      <c r="FS20" s="383"/>
      <c r="FT20" s="383"/>
      <c r="FU20" s="383"/>
      <c r="FV20" s="383"/>
      <c r="FW20" s="383"/>
      <c r="FX20" s="383"/>
      <c r="FY20" s="383"/>
      <c r="FZ20" s="383"/>
      <c r="GA20" s="383"/>
      <c r="GB20" s="383"/>
      <c r="GC20" s="383"/>
      <c r="GD20" s="383"/>
      <c r="GE20" s="383"/>
      <c r="GF20" s="383"/>
      <c r="GG20" s="383"/>
      <c r="GH20" s="383"/>
      <c r="GI20" s="383"/>
      <c r="GJ20" s="383"/>
      <c r="GK20" s="383"/>
      <c r="GL20" s="383"/>
      <c r="GM20" s="383"/>
      <c r="GN20" s="383"/>
      <c r="GO20" s="383"/>
      <c r="GP20" s="383"/>
      <c r="GQ20" s="383"/>
      <c r="GR20" s="383"/>
      <c r="GS20" s="383"/>
      <c r="GT20" s="383"/>
      <c r="GU20" s="383"/>
      <c r="GV20" s="383"/>
      <c r="GW20" s="383"/>
      <c r="GX20" s="383"/>
      <c r="GY20" s="383"/>
      <c r="GZ20" s="383"/>
      <c r="HA20" s="383"/>
      <c r="HB20" s="383"/>
      <c r="HC20" s="383"/>
      <c r="HD20" s="383"/>
      <c r="HE20" s="383"/>
      <c r="HF20" s="383"/>
      <c r="HG20" s="383"/>
      <c r="HH20" s="383"/>
      <c r="HI20" s="383"/>
      <c r="HJ20" s="383"/>
      <c r="HK20" s="383"/>
      <c r="HL20" s="383"/>
      <c r="HM20" s="383"/>
      <c r="HN20" s="383"/>
      <c r="HO20" s="383"/>
      <c r="HP20" s="383"/>
      <c r="HQ20" s="383"/>
      <c r="HR20" s="383"/>
      <c r="HS20" s="383"/>
      <c r="HT20" s="383"/>
      <c r="HU20" s="383"/>
      <c r="HV20" s="383"/>
      <c r="HW20" s="383"/>
      <c r="HX20" s="383"/>
      <c r="HY20" s="383"/>
      <c r="HZ20" s="383"/>
      <c r="IA20" s="383"/>
      <c r="IB20" s="383"/>
      <c r="IC20" s="383"/>
      <c r="ID20" s="383"/>
      <c r="IE20" s="383"/>
      <c r="IF20" s="383"/>
      <c r="IG20" s="383"/>
      <c r="IH20" s="383"/>
      <c r="II20" s="383"/>
      <c r="IJ20" s="383"/>
      <c r="IK20" s="383"/>
      <c r="IL20" s="383"/>
      <c r="IM20" s="383"/>
      <c r="IN20" s="383"/>
      <c r="IO20" s="383"/>
      <c r="IP20" s="383"/>
      <c r="IQ20" s="383"/>
      <c r="IR20" s="383"/>
      <c r="IS20" s="383"/>
      <c r="IT20" s="383"/>
      <c r="IU20" s="383"/>
      <c r="IV20" s="383"/>
      <c r="IW20" s="383"/>
      <c r="IX20" s="383"/>
      <c r="IY20" s="383"/>
      <c r="IZ20" s="383"/>
      <c r="JA20" s="383"/>
      <c r="JB20" s="383"/>
      <c r="JC20" s="383"/>
      <c r="JD20" s="383"/>
      <c r="JE20" s="383"/>
      <c r="JF20" s="383"/>
      <c r="JG20" s="383"/>
      <c r="JH20" s="383"/>
      <c r="JI20" s="383"/>
      <c r="JJ20" s="383"/>
      <c r="JK20" s="383"/>
      <c r="JL20" s="383"/>
      <c r="JM20" s="383"/>
      <c r="JN20" s="383"/>
      <c r="JO20" s="383"/>
      <c r="JP20" s="383"/>
      <c r="JQ20" s="383"/>
      <c r="JR20" s="383"/>
      <c r="JS20" s="383"/>
      <c r="JT20" s="383"/>
      <c r="JU20" s="383"/>
      <c r="JV20" s="383"/>
      <c r="JW20" s="383"/>
      <c r="JX20" s="383"/>
      <c r="JY20" s="383"/>
      <c r="JZ20" s="383"/>
      <c r="KA20" s="383"/>
      <c r="KB20" s="383"/>
      <c r="KC20" s="383"/>
      <c r="KD20" s="383"/>
      <c r="KE20" s="383"/>
      <c r="KF20" s="383"/>
      <c r="KG20" s="383"/>
      <c r="KH20" s="383"/>
      <c r="KI20" s="383"/>
      <c r="KJ20" s="383"/>
      <c r="KK20" s="383"/>
      <c r="KL20" s="383"/>
      <c r="KM20" s="383"/>
      <c r="KN20" s="383"/>
      <c r="KO20" s="383"/>
      <c r="KP20" s="383"/>
      <c r="KQ20" s="383"/>
      <c r="KR20" s="383"/>
      <c r="KS20" s="383"/>
      <c r="KT20" s="383"/>
      <c r="KU20" s="383"/>
      <c r="KV20" s="383"/>
      <c r="KW20" s="383"/>
      <c r="KX20" s="383"/>
      <c r="KY20" s="383"/>
      <c r="KZ20" s="383"/>
      <c r="LA20" s="383"/>
      <c r="LB20" s="383"/>
      <c r="LC20" s="383"/>
      <c r="LD20" s="383"/>
      <c r="LE20" s="383"/>
      <c r="LF20" s="383"/>
      <c r="LG20" s="383"/>
      <c r="LH20" s="383"/>
      <c r="LI20" s="383"/>
      <c r="LJ20" s="383"/>
      <c r="LK20" s="383"/>
      <c r="LL20" s="383"/>
      <c r="LM20" s="383"/>
      <c r="LN20" s="383"/>
      <c r="LO20" s="383"/>
      <c r="LP20" s="383"/>
      <c r="LQ20" s="383"/>
      <c r="LR20" s="383"/>
      <c r="LS20" s="383"/>
      <c r="LT20" s="383"/>
      <c r="LU20" s="383"/>
      <c r="LV20" s="383"/>
      <c r="LW20" s="383"/>
      <c r="LX20" s="383"/>
      <c r="LY20" s="383"/>
      <c r="LZ20" s="383"/>
      <c r="MA20" s="383"/>
      <c r="MB20" s="383"/>
      <c r="MC20" s="383"/>
      <c r="MD20" s="383"/>
      <c r="ME20" s="383"/>
      <c r="MF20" s="383"/>
      <c r="MG20" s="383"/>
      <c r="MH20" s="383"/>
      <c r="MI20" s="383"/>
      <c r="MJ20" s="383"/>
      <c r="MK20" s="383"/>
      <c r="ML20" s="383"/>
      <c r="MM20" s="383"/>
      <c r="MN20" s="383"/>
      <c r="MO20" s="383"/>
      <c r="MP20" s="383"/>
      <c r="MQ20" s="383"/>
      <c r="MR20" s="383"/>
      <c r="MS20" s="383"/>
      <c r="MT20" s="383"/>
      <c r="MU20" s="383"/>
      <c r="MV20" s="383"/>
      <c r="MW20" s="383"/>
      <c r="MX20" s="383"/>
      <c r="MY20" s="383"/>
      <c r="MZ20" s="383"/>
      <c r="NA20" s="383"/>
      <c r="NB20" s="383"/>
      <c r="NC20" s="383"/>
      <c r="ND20" s="383"/>
      <c r="NE20" s="383"/>
      <c r="NF20" s="383"/>
      <c r="NG20" s="383"/>
      <c r="NH20" s="383"/>
      <c r="NI20" s="383"/>
      <c r="NJ20" s="383"/>
      <c r="NK20" s="383"/>
      <c r="NL20" s="383"/>
      <c r="NM20" s="383"/>
      <c r="NN20" s="383"/>
      <c r="NO20" s="383"/>
      <c r="NP20" s="383"/>
      <c r="NQ20" s="383"/>
      <c r="NR20" s="383"/>
      <c r="NS20" s="383"/>
      <c r="NT20" s="383"/>
      <c r="NU20" s="383"/>
      <c r="NV20" s="383"/>
      <c r="NW20" s="383"/>
    </row>
    <row r="21" spans="1:387" ht="15.75" x14ac:dyDescent="0.25">
      <c r="A21" s="384"/>
      <c r="B21" s="407"/>
      <c r="C21" s="393" t="s">
        <v>9</v>
      </c>
      <c r="D21" s="444"/>
      <c r="E21" s="445">
        <v>95</v>
      </c>
      <c r="F21" s="445"/>
      <c r="G21" s="393"/>
      <c r="H21" s="393" t="s">
        <v>8</v>
      </c>
      <c r="I21" s="444"/>
      <c r="J21" s="445">
        <v>85</v>
      </c>
      <c r="K21" s="445"/>
      <c r="L21" s="445"/>
      <c r="M21" s="393"/>
      <c r="N21" s="393" t="s">
        <v>9</v>
      </c>
      <c r="O21" s="444"/>
      <c r="P21" s="445">
        <v>95</v>
      </c>
      <c r="Q21" s="445"/>
      <c r="R21" s="393"/>
      <c r="S21" s="393" t="s">
        <v>8</v>
      </c>
      <c r="T21" s="444"/>
      <c r="U21" s="445">
        <v>85</v>
      </c>
      <c r="V21" s="445"/>
      <c r="W21" s="455"/>
      <c r="X21" s="410"/>
      <c r="Y21" s="384"/>
      <c r="Z21" s="384"/>
      <c r="AA21" s="384"/>
      <c r="AB21" s="384"/>
      <c r="AC21" s="384"/>
      <c r="AD21" s="384"/>
      <c r="AE21" s="384"/>
      <c r="AF21" s="384"/>
      <c r="AG21" s="384"/>
      <c r="AH21" s="384"/>
      <c r="AI21" s="384"/>
      <c r="AJ21" s="384"/>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row>
    <row r="22" spans="1:387" ht="15.75" x14ac:dyDescent="0.25">
      <c r="A22" s="384"/>
      <c r="B22" s="407"/>
      <c r="C22" s="393" t="s">
        <v>11</v>
      </c>
      <c r="D22" s="444"/>
      <c r="E22" s="445">
        <v>105</v>
      </c>
      <c r="F22" s="445"/>
      <c r="G22" s="393"/>
      <c r="H22" s="393" t="s">
        <v>9</v>
      </c>
      <c r="I22" s="444"/>
      <c r="J22" s="445">
        <v>95</v>
      </c>
      <c r="K22" s="445"/>
      <c r="L22" s="445"/>
      <c r="M22" s="393"/>
      <c r="N22" s="393" t="s">
        <v>11</v>
      </c>
      <c r="O22" s="444"/>
      <c r="P22" s="445">
        <v>105</v>
      </c>
      <c r="Q22" s="445"/>
      <c r="R22" s="393"/>
      <c r="S22" s="393" t="s">
        <v>9</v>
      </c>
      <c r="T22" s="444"/>
      <c r="U22" s="445">
        <v>95</v>
      </c>
      <c r="V22" s="445"/>
      <c r="W22" s="455"/>
      <c r="X22" s="410"/>
      <c r="Y22" s="384"/>
      <c r="Z22" s="384"/>
      <c r="AA22" s="384"/>
      <c r="AB22" s="384"/>
      <c r="AC22" s="384"/>
      <c r="AD22" s="384"/>
      <c r="AE22" s="384"/>
      <c r="AF22" s="384"/>
      <c r="AG22" s="384"/>
      <c r="AH22" s="384"/>
      <c r="AI22" s="384"/>
      <c r="AJ22" s="384"/>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row>
    <row r="23" spans="1:387" ht="15.75" x14ac:dyDescent="0.25">
      <c r="A23" s="384"/>
      <c r="B23" s="407"/>
      <c r="C23" s="393"/>
      <c r="D23" s="375"/>
      <c r="E23" s="393"/>
      <c r="F23" s="393"/>
      <c r="G23" s="393"/>
      <c r="H23" s="393"/>
      <c r="I23" s="375"/>
      <c r="J23" s="393"/>
      <c r="K23" s="393"/>
      <c r="L23" s="393"/>
      <c r="M23" s="393"/>
      <c r="N23" s="393"/>
      <c r="O23" s="375"/>
      <c r="P23" s="393"/>
      <c r="Q23" s="393"/>
      <c r="R23" s="393"/>
      <c r="S23" s="393"/>
      <c r="T23" s="375"/>
      <c r="U23" s="393"/>
      <c r="V23" s="393"/>
      <c r="W23" s="393"/>
      <c r="X23" s="410"/>
      <c r="Y23" s="384"/>
      <c r="Z23" s="384"/>
      <c r="AA23" s="384"/>
      <c r="AB23" s="384"/>
      <c r="AC23" s="384"/>
      <c r="AD23" s="384"/>
      <c r="AE23" s="384"/>
      <c r="AF23" s="384"/>
      <c r="AG23" s="384"/>
      <c r="AH23" s="384"/>
      <c r="AI23" s="384"/>
      <c r="AJ23" s="384"/>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row>
    <row r="24" spans="1:387" ht="15.75" x14ac:dyDescent="0.25">
      <c r="A24" s="384"/>
      <c r="B24" s="405"/>
      <c r="C24" s="391" t="s">
        <v>926</v>
      </c>
      <c r="H24" s="391" t="s">
        <v>927</v>
      </c>
      <c r="N24" s="391" t="s">
        <v>928</v>
      </c>
      <c r="S24" s="391" t="s">
        <v>929</v>
      </c>
      <c r="X24" s="419"/>
      <c r="Y24" s="384"/>
      <c r="Z24" s="384"/>
      <c r="AA24" s="384"/>
      <c r="AB24" s="384"/>
      <c r="AC24" s="384"/>
      <c r="AD24" s="384"/>
      <c r="AE24" s="384"/>
      <c r="AF24" s="384"/>
      <c r="AG24" s="384"/>
      <c r="AH24" s="384"/>
      <c r="AI24" s="384"/>
      <c r="AJ24" s="38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row>
    <row r="25" spans="1:387" s="390" customFormat="1" ht="15.75" x14ac:dyDescent="0.25">
      <c r="A25" s="418"/>
      <c r="B25" s="595"/>
      <c r="C25" s="393" t="s">
        <v>218</v>
      </c>
      <c r="D25" s="451">
        <v>6</v>
      </c>
      <c r="H25" s="393" t="s">
        <v>218</v>
      </c>
      <c r="I25" s="451">
        <v>6</v>
      </c>
      <c r="N25" s="393" t="s">
        <v>218</v>
      </c>
      <c r="O25" s="451">
        <v>6</v>
      </c>
      <c r="S25" s="393" t="s">
        <v>218</v>
      </c>
      <c r="T25" s="451">
        <v>6</v>
      </c>
      <c r="X25" s="404"/>
      <c r="Y25" s="418"/>
      <c r="Z25" s="418"/>
      <c r="AA25" s="418"/>
      <c r="AB25" s="418"/>
      <c r="AC25" s="418"/>
      <c r="AD25" s="418"/>
      <c r="AE25" s="418"/>
      <c r="AF25" s="418"/>
      <c r="AG25" s="418"/>
      <c r="AH25" s="418"/>
      <c r="AI25" s="418"/>
      <c r="AJ25" s="418"/>
      <c r="AK25" s="596"/>
      <c r="AL25" s="596"/>
      <c r="AM25" s="596"/>
      <c r="AN25" s="596"/>
      <c r="AO25" s="596"/>
      <c r="AP25" s="596"/>
      <c r="AQ25" s="596"/>
      <c r="AR25" s="596"/>
      <c r="AS25" s="596"/>
      <c r="AT25" s="596"/>
      <c r="AU25" s="596"/>
      <c r="AV25" s="596"/>
      <c r="AW25" s="596"/>
      <c r="AX25" s="596"/>
      <c r="AY25" s="596"/>
      <c r="AZ25" s="596"/>
      <c r="BA25" s="596"/>
      <c r="BB25" s="596"/>
      <c r="BC25" s="596"/>
      <c r="BD25" s="596"/>
      <c r="BE25" s="596"/>
      <c r="BF25" s="596"/>
      <c r="BG25" s="596"/>
      <c r="BH25" s="596"/>
      <c r="BI25" s="596"/>
      <c r="BJ25" s="596"/>
      <c r="BK25" s="596"/>
      <c r="BL25" s="596"/>
      <c r="BM25" s="596"/>
      <c r="BN25" s="596"/>
      <c r="BO25" s="596"/>
      <c r="BP25" s="596"/>
      <c r="BQ25" s="596"/>
      <c r="BR25" s="596"/>
      <c r="BS25" s="596"/>
      <c r="BT25" s="596"/>
      <c r="BU25" s="596"/>
      <c r="BV25" s="596"/>
      <c r="BW25" s="596"/>
      <c r="BX25" s="596"/>
      <c r="BY25" s="596"/>
      <c r="BZ25" s="596"/>
      <c r="CA25" s="596"/>
      <c r="CB25" s="596"/>
      <c r="CC25" s="596"/>
      <c r="CD25" s="596"/>
      <c r="CE25" s="596"/>
      <c r="CF25" s="596"/>
      <c r="CG25" s="596"/>
      <c r="CH25" s="596"/>
      <c r="CI25" s="596"/>
      <c r="CJ25" s="596"/>
      <c r="CK25" s="596"/>
      <c r="CL25" s="596"/>
      <c r="CM25" s="596"/>
      <c r="CN25" s="596"/>
      <c r="CO25" s="596"/>
      <c r="CP25" s="596"/>
      <c r="CQ25" s="596"/>
      <c r="CR25" s="596"/>
      <c r="CS25" s="596"/>
      <c r="CT25" s="596"/>
      <c r="CU25" s="596"/>
      <c r="CV25" s="596"/>
      <c r="CW25" s="596"/>
      <c r="CX25" s="596"/>
      <c r="CY25" s="596"/>
      <c r="CZ25" s="596"/>
      <c r="DA25" s="596"/>
      <c r="DB25" s="596"/>
      <c r="DC25" s="596"/>
      <c r="DD25" s="596"/>
      <c r="DE25" s="596"/>
      <c r="DF25" s="596"/>
      <c r="DG25" s="596"/>
      <c r="DH25" s="596"/>
      <c r="DI25" s="596"/>
      <c r="DJ25" s="596"/>
      <c r="DK25" s="596"/>
      <c r="DL25" s="596"/>
      <c r="DM25" s="596"/>
      <c r="DN25" s="596"/>
      <c r="DO25" s="596"/>
      <c r="DP25" s="596"/>
      <c r="DQ25" s="596"/>
      <c r="DR25" s="596"/>
      <c r="DS25" s="596"/>
      <c r="DT25" s="596"/>
      <c r="DU25" s="596"/>
      <c r="DV25" s="596"/>
      <c r="DW25" s="596"/>
      <c r="DX25" s="596"/>
      <c r="DY25" s="596"/>
      <c r="DZ25" s="596"/>
      <c r="EA25" s="596"/>
      <c r="EB25" s="596"/>
      <c r="EC25" s="596"/>
      <c r="ED25" s="596"/>
      <c r="EE25" s="596"/>
      <c r="EF25" s="596"/>
      <c r="EG25" s="596"/>
      <c r="EH25" s="596"/>
      <c r="EI25" s="596"/>
      <c r="EJ25" s="596"/>
      <c r="EK25" s="596"/>
      <c r="EL25" s="596"/>
      <c r="EM25" s="596"/>
      <c r="EN25" s="596"/>
      <c r="EO25" s="596"/>
      <c r="EP25" s="596"/>
      <c r="EQ25" s="596"/>
      <c r="ER25" s="596"/>
      <c r="ES25" s="596"/>
      <c r="ET25" s="596"/>
      <c r="EU25" s="596"/>
      <c r="EV25" s="596"/>
      <c r="EW25" s="596"/>
      <c r="EX25" s="596"/>
      <c r="EY25" s="596"/>
      <c r="EZ25" s="596"/>
      <c r="FA25" s="596"/>
      <c r="FB25" s="596"/>
      <c r="FC25" s="596"/>
      <c r="FD25" s="596"/>
      <c r="FE25" s="596"/>
      <c r="FF25" s="596"/>
      <c r="FG25" s="596"/>
      <c r="FH25" s="596"/>
      <c r="FI25" s="596"/>
      <c r="FJ25" s="596"/>
      <c r="FK25" s="596"/>
      <c r="FL25" s="596"/>
      <c r="FM25" s="596"/>
      <c r="FN25" s="596"/>
      <c r="FO25" s="596"/>
      <c r="FP25" s="596"/>
      <c r="FQ25" s="596"/>
      <c r="FR25" s="596"/>
      <c r="FS25" s="596"/>
      <c r="FT25" s="596"/>
      <c r="FU25" s="596"/>
      <c r="FV25" s="596"/>
      <c r="FW25" s="596"/>
      <c r="FX25" s="596"/>
      <c r="FY25" s="596"/>
      <c r="FZ25" s="596"/>
      <c r="GA25" s="596"/>
      <c r="GB25" s="596"/>
      <c r="GC25" s="596"/>
      <c r="GD25" s="596"/>
      <c r="GE25" s="596"/>
      <c r="GF25" s="596"/>
      <c r="GG25" s="596"/>
      <c r="GH25" s="596"/>
      <c r="GI25" s="596"/>
      <c r="GJ25" s="596"/>
      <c r="GK25" s="596"/>
      <c r="GL25" s="596"/>
      <c r="GM25" s="596"/>
      <c r="GN25" s="596"/>
      <c r="GO25" s="596"/>
      <c r="GP25" s="596"/>
      <c r="GQ25" s="596"/>
      <c r="GR25" s="596"/>
      <c r="GS25" s="596"/>
      <c r="GT25" s="596"/>
      <c r="GU25" s="596"/>
      <c r="GV25" s="596"/>
      <c r="GW25" s="596"/>
      <c r="GX25" s="596"/>
      <c r="GY25" s="596"/>
      <c r="GZ25" s="596"/>
      <c r="HA25" s="596"/>
      <c r="HB25" s="596"/>
      <c r="HC25" s="596"/>
      <c r="HD25" s="596"/>
      <c r="HE25" s="596"/>
      <c r="HF25" s="596"/>
      <c r="HG25" s="596"/>
      <c r="HH25" s="596"/>
      <c r="HI25" s="596"/>
      <c r="HJ25" s="596"/>
      <c r="HK25" s="596"/>
      <c r="HL25" s="596"/>
      <c r="HM25" s="596"/>
      <c r="HN25" s="596"/>
      <c r="HO25" s="596"/>
      <c r="HP25" s="596"/>
      <c r="HQ25" s="596"/>
      <c r="HR25" s="596"/>
      <c r="HS25" s="596"/>
      <c r="HT25" s="596"/>
      <c r="HU25" s="596"/>
      <c r="HV25" s="596"/>
      <c r="HW25" s="596"/>
      <c r="HX25" s="596"/>
      <c r="HY25" s="596"/>
      <c r="HZ25" s="596"/>
      <c r="IA25" s="596"/>
      <c r="IB25" s="596"/>
      <c r="IC25" s="596"/>
      <c r="ID25" s="596"/>
      <c r="IE25" s="596"/>
      <c r="IF25" s="596"/>
      <c r="IG25" s="596"/>
      <c r="IH25" s="596"/>
      <c r="II25" s="596"/>
      <c r="IJ25" s="596"/>
      <c r="IK25" s="596"/>
      <c r="IL25" s="596"/>
      <c r="IM25" s="596"/>
      <c r="IN25" s="596"/>
      <c r="IO25" s="596"/>
      <c r="IP25" s="596"/>
      <c r="IQ25" s="596"/>
      <c r="IR25" s="596"/>
      <c r="IS25" s="596"/>
      <c r="IT25" s="596"/>
      <c r="IU25" s="596"/>
      <c r="IV25" s="596"/>
      <c r="IW25" s="596"/>
      <c r="IX25" s="596"/>
      <c r="IY25" s="596"/>
      <c r="IZ25" s="596"/>
      <c r="JA25" s="596"/>
      <c r="JB25" s="596"/>
      <c r="JC25" s="596"/>
      <c r="JD25" s="596"/>
      <c r="JE25" s="596"/>
      <c r="JF25" s="596"/>
      <c r="JG25" s="596"/>
      <c r="JH25" s="596"/>
      <c r="JI25" s="596"/>
      <c r="JJ25" s="596"/>
      <c r="JK25" s="596"/>
      <c r="JL25" s="596"/>
      <c r="JM25" s="596"/>
      <c r="JN25" s="596"/>
      <c r="JO25" s="596"/>
      <c r="JP25" s="596"/>
      <c r="JQ25" s="596"/>
      <c r="JR25" s="596"/>
      <c r="JS25" s="596"/>
      <c r="JT25" s="596"/>
      <c r="JU25" s="596"/>
      <c r="JV25" s="596"/>
      <c r="JW25" s="596"/>
      <c r="JX25" s="596"/>
      <c r="JY25" s="596"/>
      <c r="JZ25" s="596"/>
      <c r="KA25" s="596"/>
      <c r="KB25" s="596"/>
      <c r="KC25" s="596"/>
      <c r="KD25" s="596"/>
      <c r="KE25" s="596"/>
      <c r="KF25" s="596"/>
      <c r="KG25" s="596"/>
      <c r="KH25" s="596"/>
      <c r="KI25" s="596"/>
      <c r="KJ25" s="596"/>
      <c r="KK25" s="596"/>
      <c r="KL25" s="596"/>
      <c r="KM25" s="596"/>
      <c r="KN25" s="596"/>
      <c r="KO25" s="596"/>
      <c r="KP25" s="596"/>
      <c r="KQ25" s="596"/>
      <c r="KR25" s="596"/>
      <c r="KS25" s="596"/>
      <c r="KT25" s="596"/>
      <c r="KU25" s="596"/>
      <c r="KV25" s="596"/>
      <c r="KW25" s="596"/>
      <c r="KX25" s="596"/>
      <c r="KY25" s="596"/>
      <c r="KZ25" s="596"/>
      <c r="LA25" s="596"/>
      <c r="LB25" s="596"/>
      <c r="LC25" s="596"/>
      <c r="LD25" s="596"/>
      <c r="LE25" s="596"/>
      <c r="LF25" s="596"/>
      <c r="LG25" s="596"/>
      <c r="LH25" s="596"/>
      <c r="LI25" s="596"/>
      <c r="LJ25" s="596"/>
      <c r="LK25" s="596"/>
      <c r="LL25" s="596"/>
      <c r="LM25" s="596"/>
      <c r="LN25" s="596"/>
      <c r="LO25" s="596"/>
      <c r="LP25" s="596"/>
      <c r="LQ25" s="596"/>
      <c r="LR25" s="596"/>
      <c r="LS25" s="596"/>
      <c r="LT25" s="596"/>
      <c r="LU25" s="596"/>
      <c r="LV25" s="596"/>
      <c r="LW25" s="596"/>
      <c r="LX25" s="596"/>
      <c r="LY25" s="596"/>
      <c r="LZ25" s="596"/>
      <c r="MA25" s="596"/>
      <c r="MB25" s="596"/>
      <c r="MC25" s="596"/>
      <c r="MD25" s="596"/>
      <c r="ME25" s="596"/>
      <c r="MF25" s="596"/>
      <c r="MG25" s="596"/>
      <c r="MH25" s="596"/>
      <c r="MI25" s="596"/>
      <c r="MJ25" s="596"/>
      <c r="MK25" s="596"/>
      <c r="ML25" s="596"/>
      <c r="MM25" s="596"/>
      <c r="MN25" s="596"/>
      <c r="MO25" s="596"/>
      <c r="MP25" s="596"/>
      <c r="MQ25" s="596"/>
      <c r="MR25" s="596"/>
      <c r="MS25" s="596"/>
      <c r="MT25" s="596"/>
      <c r="MU25" s="596"/>
      <c r="MV25" s="596"/>
      <c r="MW25" s="596"/>
      <c r="MX25" s="596"/>
      <c r="MY25" s="596"/>
      <c r="MZ25" s="596"/>
      <c r="NA25" s="596"/>
      <c r="NB25" s="596"/>
      <c r="NC25" s="596"/>
      <c r="ND25" s="596"/>
      <c r="NE25" s="596"/>
      <c r="NF25" s="596"/>
      <c r="NG25" s="596"/>
      <c r="NH25" s="596"/>
      <c r="NI25" s="596"/>
      <c r="NJ25" s="596"/>
      <c r="NK25" s="596"/>
      <c r="NL25" s="596"/>
      <c r="NM25" s="596"/>
      <c r="NN25" s="596"/>
      <c r="NO25" s="596"/>
      <c r="NP25" s="596"/>
      <c r="NQ25" s="596"/>
      <c r="NR25" s="596"/>
      <c r="NS25" s="596"/>
      <c r="NT25" s="596"/>
      <c r="NU25" s="596"/>
      <c r="NV25" s="596"/>
      <c r="NW25" s="596"/>
    </row>
    <row r="26" spans="1:387" s="390" customFormat="1" ht="15.75" x14ac:dyDescent="0.25">
      <c r="A26" s="418"/>
      <c r="B26" s="595"/>
      <c r="C26" s="393" t="s">
        <v>910</v>
      </c>
      <c r="D26" s="451">
        <v>3</v>
      </c>
      <c r="H26" s="393" t="s">
        <v>910</v>
      </c>
      <c r="I26" s="451">
        <v>3</v>
      </c>
      <c r="N26" s="393" t="s">
        <v>910</v>
      </c>
      <c r="O26" s="451">
        <v>3</v>
      </c>
      <c r="S26" s="393" t="s">
        <v>910</v>
      </c>
      <c r="T26" s="451">
        <v>3</v>
      </c>
      <c r="X26" s="404"/>
      <c r="Y26" s="418"/>
      <c r="Z26" s="418"/>
      <c r="AA26" s="418"/>
      <c r="AB26" s="418"/>
      <c r="AC26" s="418"/>
      <c r="AD26" s="418"/>
      <c r="AE26" s="418"/>
      <c r="AF26" s="418"/>
      <c r="AG26" s="418"/>
      <c r="AH26" s="418"/>
      <c r="AI26" s="418"/>
      <c r="AJ26" s="418"/>
      <c r="AK26" s="596"/>
      <c r="AL26" s="596"/>
      <c r="AM26" s="596"/>
      <c r="AN26" s="596"/>
      <c r="AO26" s="596"/>
      <c r="AP26" s="596"/>
      <c r="AQ26" s="596"/>
      <c r="AR26" s="596"/>
      <c r="AS26" s="596"/>
      <c r="AT26" s="596"/>
      <c r="AU26" s="596"/>
      <c r="AV26" s="596"/>
      <c r="AW26" s="596"/>
      <c r="AX26" s="596"/>
      <c r="AY26" s="596"/>
      <c r="AZ26" s="596"/>
      <c r="BA26" s="596"/>
      <c r="BB26" s="596"/>
      <c r="BC26" s="596"/>
      <c r="BD26" s="596"/>
      <c r="BE26" s="596"/>
      <c r="BF26" s="596"/>
      <c r="BG26" s="596"/>
      <c r="BH26" s="596"/>
      <c r="BI26" s="596"/>
      <c r="BJ26" s="596"/>
      <c r="BK26" s="596"/>
      <c r="BL26" s="596"/>
      <c r="BM26" s="596"/>
      <c r="BN26" s="596"/>
      <c r="BO26" s="596"/>
      <c r="BP26" s="596"/>
      <c r="BQ26" s="596"/>
      <c r="BR26" s="596"/>
      <c r="BS26" s="596"/>
      <c r="BT26" s="596"/>
      <c r="BU26" s="596"/>
      <c r="BV26" s="596"/>
      <c r="BW26" s="596"/>
      <c r="BX26" s="596"/>
      <c r="BY26" s="596"/>
      <c r="BZ26" s="596"/>
      <c r="CA26" s="596"/>
      <c r="CB26" s="596"/>
      <c r="CC26" s="596"/>
      <c r="CD26" s="596"/>
      <c r="CE26" s="596"/>
      <c r="CF26" s="596"/>
      <c r="CG26" s="596"/>
      <c r="CH26" s="596"/>
      <c r="CI26" s="596"/>
      <c r="CJ26" s="596"/>
      <c r="CK26" s="596"/>
      <c r="CL26" s="596"/>
      <c r="CM26" s="596"/>
      <c r="CN26" s="596"/>
      <c r="CO26" s="596"/>
      <c r="CP26" s="596"/>
      <c r="CQ26" s="596"/>
      <c r="CR26" s="596"/>
      <c r="CS26" s="596"/>
      <c r="CT26" s="596"/>
      <c r="CU26" s="596"/>
      <c r="CV26" s="596"/>
      <c r="CW26" s="596"/>
      <c r="CX26" s="596"/>
      <c r="CY26" s="596"/>
      <c r="CZ26" s="596"/>
      <c r="DA26" s="596"/>
      <c r="DB26" s="596"/>
      <c r="DC26" s="596"/>
      <c r="DD26" s="596"/>
      <c r="DE26" s="596"/>
      <c r="DF26" s="596"/>
      <c r="DG26" s="596"/>
      <c r="DH26" s="596"/>
      <c r="DI26" s="596"/>
      <c r="DJ26" s="596"/>
      <c r="DK26" s="596"/>
      <c r="DL26" s="596"/>
      <c r="DM26" s="596"/>
      <c r="DN26" s="596"/>
      <c r="DO26" s="596"/>
      <c r="DP26" s="596"/>
      <c r="DQ26" s="596"/>
      <c r="DR26" s="596"/>
      <c r="DS26" s="596"/>
      <c r="DT26" s="596"/>
      <c r="DU26" s="596"/>
      <c r="DV26" s="596"/>
      <c r="DW26" s="596"/>
      <c r="DX26" s="596"/>
      <c r="DY26" s="596"/>
      <c r="DZ26" s="596"/>
      <c r="EA26" s="596"/>
      <c r="EB26" s="596"/>
      <c r="EC26" s="596"/>
      <c r="ED26" s="596"/>
      <c r="EE26" s="596"/>
      <c r="EF26" s="596"/>
      <c r="EG26" s="596"/>
      <c r="EH26" s="596"/>
      <c r="EI26" s="596"/>
      <c r="EJ26" s="596"/>
      <c r="EK26" s="596"/>
      <c r="EL26" s="596"/>
      <c r="EM26" s="596"/>
      <c r="EN26" s="596"/>
      <c r="EO26" s="596"/>
      <c r="EP26" s="596"/>
      <c r="EQ26" s="596"/>
      <c r="ER26" s="596"/>
      <c r="ES26" s="596"/>
      <c r="ET26" s="596"/>
      <c r="EU26" s="596"/>
      <c r="EV26" s="596"/>
      <c r="EW26" s="596"/>
      <c r="EX26" s="596"/>
      <c r="EY26" s="596"/>
      <c r="EZ26" s="596"/>
      <c r="FA26" s="596"/>
      <c r="FB26" s="596"/>
      <c r="FC26" s="596"/>
      <c r="FD26" s="596"/>
      <c r="FE26" s="596"/>
      <c r="FF26" s="596"/>
      <c r="FG26" s="596"/>
      <c r="FH26" s="596"/>
      <c r="FI26" s="596"/>
      <c r="FJ26" s="596"/>
      <c r="FK26" s="596"/>
      <c r="FL26" s="596"/>
      <c r="FM26" s="596"/>
      <c r="FN26" s="596"/>
      <c r="FO26" s="596"/>
      <c r="FP26" s="596"/>
      <c r="FQ26" s="596"/>
      <c r="FR26" s="596"/>
      <c r="FS26" s="596"/>
      <c r="FT26" s="596"/>
      <c r="FU26" s="596"/>
      <c r="FV26" s="596"/>
      <c r="FW26" s="596"/>
      <c r="FX26" s="596"/>
      <c r="FY26" s="596"/>
      <c r="FZ26" s="596"/>
      <c r="GA26" s="596"/>
      <c r="GB26" s="596"/>
      <c r="GC26" s="596"/>
      <c r="GD26" s="596"/>
      <c r="GE26" s="596"/>
      <c r="GF26" s="596"/>
      <c r="GG26" s="596"/>
      <c r="GH26" s="596"/>
      <c r="GI26" s="596"/>
      <c r="GJ26" s="596"/>
      <c r="GK26" s="596"/>
      <c r="GL26" s="596"/>
      <c r="GM26" s="596"/>
      <c r="GN26" s="596"/>
      <c r="GO26" s="596"/>
      <c r="GP26" s="596"/>
      <c r="GQ26" s="596"/>
      <c r="GR26" s="596"/>
      <c r="GS26" s="596"/>
      <c r="GT26" s="596"/>
      <c r="GU26" s="596"/>
      <c r="GV26" s="596"/>
      <c r="GW26" s="596"/>
      <c r="GX26" s="596"/>
      <c r="GY26" s="596"/>
      <c r="GZ26" s="596"/>
      <c r="HA26" s="596"/>
      <c r="HB26" s="596"/>
      <c r="HC26" s="596"/>
      <c r="HD26" s="596"/>
      <c r="HE26" s="596"/>
      <c r="HF26" s="596"/>
      <c r="HG26" s="596"/>
      <c r="HH26" s="596"/>
      <c r="HI26" s="596"/>
      <c r="HJ26" s="596"/>
      <c r="HK26" s="596"/>
      <c r="HL26" s="596"/>
      <c r="HM26" s="596"/>
      <c r="HN26" s="596"/>
      <c r="HO26" s="596"/>
      <c r="HP26" s="596"/>
      <c r="HQ26" s="596"/>
      <c r="HR26" s="596"/>
      <c r="HS26" s="596"/>
      <c r="HT26" s="596"/>
      <c r="HU26" s="596"/>
      <c r="HV26" s="596"/>
      <c r="HW26" s="596"/>
      <c r="HX26" s="596"/>
      <c r="HY26" s="596"/>
      <c r="HZ26" s="596"/>
      <c r="IA26" s="596"/>
      <c r="IB26" s="596"/>
      <c r="IC26" s="596"/>
      <c r="ID26" s="596"/>
      <c r="IE26" s="596"/>
      <c r="IF26" s="596"/>
      <c r="IG26" s="596"/>
      <c r="IH26" s="596"/>
      <c r="II26" s="596"/>
      <c r="IJ26" s="596"/>
      <c r="IK26" s="596"/>
      <c r="IL26" s="596"/>
      <c r="IM26" s="596"/>
      <c r="IN26" s="596"/>
      <c r="IO26" s="596"/>
      <c r="IP26" s="596"/>
      <c r="IQ26" s="596"/>
      <c r="IR26" s="596"/>
      <c r="IS26" s="596"/>
      <c r="IT26" s="596"/>
      <c r="IU26" s="596"/>
      <c r="IV26" s="596"/>
      <c r="IW26" s="596"/>
      <c r="IX26" s="596"/>
      <c r="IY26" s="596"/>
      <c r="IZ26" s="596"/>
      <c r="JA26" s="596"/>
      <c r="JB26" s="596"/>
      <c r="JC26" s="596"/>
      <c r="JD26" s="596"/>
      <c r="JE26" s="596"/>
      <c r="JF26" s="596"/>
      <c r="JG26" s="596"/>
      <c r="JH26" s="596"/>
      <c r="JI26" s="596"/>
      <c r="JJ26" s="596"/>
      <c r="JK26" s="596"/>
      <c r="JL26" s="596"/>
      <c r="JM26" s="596"/>
      <c r="JN26" s="596"/>
      <c r="JO26" s="596"/>
      <c r="JP26" s="596"/>
      <c r="JQ26" s="596"/>
      <c r="JR26" s="596"/>
      <c r="JS26" s="596"/>
      <c r="JT26" s="596"/>
      <c r="JU26" s="596"/>
      <c r="JV26" s="596"/>
      <c r="JW26" s="596"/>
      <c r="JX26" s="596"/>
      <c r="JY26" s="596"/>
      <c r="JZ26" s="596"/>
      <c r="KA26" s="596"/>
      <c r="KB26" s="596"/>
      <c r="KC26" s="596"/>
      <c r="KD26" s="596"/>
      <c r="KE26" s="596"/>
      <c r="KF26" s="596"/>
      <c r="KG26" s="596"/>
      <c r="KH26" s="596"/>
      <c r="KI26" s="596"/>
      <c r="KJ26" s="596"/>
      <c r="KK26" s="596"/>
      <c r="KL26" s="596"/>
      <c r="KM26" s="596"/>
      <c r="KN26" s="596"/>
      <c r="KO26" s="596"/>
      <c r="KP26" s="596"/>
      <c r="KQ26" s="596"/>
      <c r="KR26" s="596"/>
      <c r="KS26" s="596"/>
      <c r="KT26" s="596"/>
      <c r="KU26" s="596"/>
      <c r="KV26" s="596"/>
      <c r="KW26" s="596"/>
      <c r="KX26" s="596"/>
      <c r="KY26" s="596"/>
      <c r="KZ26" s="596"/>
      <c r="LA26" s="596"/>
      <c r="LB26" s="596"/>
      <c r="LC26" s="596"/>
      <c r="LD26" s="596"/>
      <c r="LE26" s="596"/>
      <c r="LF26" s="596"/>
      <c r="LG26" s="596"/>
      <c r="LH26" s="596"/>
      <c r="LI26" s="596"/>
      <c r="LJ26" s="596"/>
      <c r="LK26" s="596"/>
      <c r="LL26" s="596"/>
      <c r="LM26" s="596"/>
      <c r="LN26" s="596"/>
      <c r="LO26" s="596"/>
      <c r="LP26" s="596"/>
      <c r="LQ26" s="596"/>
      <c r="LR26" s="596"/>
      <c r="LS26" s="596"/>
      <c r="LT26" s="596"/>
      <c r="LU26" s="596"/>
      <c r="LV26" s="596"/>
      <c r="LW26" s="596"/>
      <c r="LX26" s="596"/>
      <c r="LY26" s="596"/>
      <c r="LZ26" s="596"/>
      <c r="MA26" s="596"/>
      <c r="MB26" s="596"/>
      <c r="MC26" s="596"/>
      <c r="MD26" s="596"/>
      <c r="ME26" s="596"/>
      <c r="MF26" s="596"/>
      <c r="MG26" s="596"/>
      <c r="MH26" s="596"/>
      <c r="MI26" s="596"/>
      <c r="MJ26" s="596"/>
      <c r="MK26" s="596"/>
      <c r="ML26" s="596"/>
      <c r="MM26" s="596"/>
      <c r="MN26" s="596"/>
      <c r="MO26" s="596"/>
      <c r="MP26" s="596"/>
      <c r="MQ26" s="596"/>
      <c r="MR26" s="596"/>
      <c r="MS26" s="596"/>
      <c r="MT26" s="596"/>
      <c r="MU26" s="596"/>
      <c r="MV26" s="596"/>
      <c r="MW26" s="596"/>
      <c r="MX26" s="596"/>
      <c r="MY26" s="596"/>
      <c r="MZ26" s="596"/>
      <c r="NA26" s="596"/>
      <c r="NB26" s="596"/>
      <c r="NC26" s="596"/>
      <c r="ND26" s="596"/>
      <c r="NE26" s="596"/>
      <c r="NF26" s="596"/>
      <c r="NG26" s="596"/>
      <c r="NH26" s="596"/>
      <c r="NI26" s="596"/>
      <c r="NJ26" s="596"/>
      <c r="NK26" s="596"/>
      <c r="NL26" s="596"/>
      <c r="NM26" s="596"/>
      <c r="NN26" s="596"/>
      <c r="NO26" s="596"/>
      <c r="NP26" s="596"/>
      <c r="NQ26" s="596"/>
      <c r="NR26" s="596"/>
      <c r="NS26" s="596"/>
      <c r="NT26" s="596"/>
      <c r="NU26" s="596"/>
      <c r="NV26" s="596"/>
      <c r="NW26" s="596"/>
    </row>
    <row r="27" spans="1:387" s="390" customFormat="1" ht="15.75" x14ac:dyDescent="0.25">
      <c r="A27" s="418"/>
      <c r="B27" s="595"/>
      <c r="C27" s="393" t="s">
        <v>911</v>
      </c>
      <c r="D27" s="451">
        <v>3</v>
      </c>
      <c r="H27" s="393" t="s">
        <v>911</v>
      </c>
      <c r="I27" s="451">
        <v>3</v>
      </c>
      <c r="N27" s="393" t="s">
        <v>911</v>
      </c>
      <c r="O27" s="451">
        <v>3</v>
      </c>
      <c r="S27" s="393" t="s">
        <v>911</v>
      </c>
      <c r="T27" s="451">
        <v>3</v>
      </c>
      <c r="X27" s="404"/>
      <c r="Y27" s="418"/>
      <c r="Z27" s="418"/>
      <c r="AA27" s="418"/>
      <c r="AB27" s="418"/>
      <c r="AC27" s="418"/>
      <c r="AD27" s="418"/>
      <c r="AE27" s="418"/>
      <c r="AF27" s="418"/>
      <c r="AG27" s="418"/>
      <c r="AH27" s="418"/>
      <c r="AI27" s="418"/>
      <c r="AJ27" s="418"/>
      <c r="AK27" s="596"/>
      <c r="AL27" s="596"/>
      <c r="AM27" s="596"/>
      <c r="AN27" s="596"/>
      <c r="AO27" s="596"/>
      <c r="AP27" s="596"/>
      <c r="AQ27" s="596"/>
      <c r="AR27" s="596"/>
      <c r="AS27" s="596"/>
      <c r="AT27" s="596"/>
      <c r="AU27" s="596"/>
      <c r="AV27" s="596"/>
      <c r="AW27" s="596"/>
      <c r="AX27" s="596"/>
      <c r="AY27" s="596"/>
      <c r="AZ27" s="596"/>
      <c r="BA27" s="596"/>
      <c r="BB27" s="596"/>
      <c r="BC27" s="596"/>
      <c r="BD27" s="596"/>
      <c r="BE27" s="596"/>
      <c r="BF27" s="596"/>
      <c r="BG27" s="596"/>
      <c r="BH27" s="596"/>
      <c r="BI27" s="596"/>
      <c r="BJ27" s="596"/>
      <c r="BK27" s="596"/>
      <c r="BL27" s="596"/>
      <c r="BM27" s="596"/>
      <c r="BN27" s="596"/>
      <c r="BO27" s="596"/>
      <c r="BP27" s="596"/>
      <c r="BQ27" s="596"/>
      <c r="BR27" s="596"/>
      <c r="BS27" s="596"/>
      <c r="BT27" s="596"/>
      <c r="BU27" s="596"/>
      <c r="BV27" s="596"/>
      <c r="BW27" s="596"/>
      <c r="BX27" s="596"/>
      <c r="BY27" s="596"/>
      <c r="BZ27" s="596"/>
      <c r="CA27" s="596"/>
      <c r="CB27" s="596"/>
      <c r="CC27" s="596"/>
      <c r="CD27" s="596"/>
      <c r="CE27" s="596"/>
      <c r="CF27" s="596"/>
      <c r="CG27" s="596"/>
      <c r="CH27" s="596"/>
      <c r="CI27" s="596"/>
      <c r="CJ27" s="596"/>
      <c r="CK27" s="596"/>
      <c r="CL27" s="596"/>
      <c r="CM27" s="596"/>
      <c r="CN27" s="596"/>
      <c r="CO27" s="596"/>
      <c r="CP27" s="596"/>
      <c r="CQ27" s="596"/>
      <c r="CR27" s="596"/>
      <c r="CS27" s="596"/>
      <c r="CT27" s="596"/>
      <c r="CU27" s="596"/>
      <c r="CV27" s="596"/>
      <c r="CW27" s="596"/>
      <c r="CX27" s="596"/>
      <c r="CY27" s="596"/>
      <c r="CZ27" s="596"/>
      <c r="DA27" s="596"/>
      <c r="DB27" s="596"/>
      <c r="DC27" s="596"/>
      <c r="DD27" s="596"/>
      <c r="DE27" s="596"/>
      <c r="DF27" s="596"/>
      <c r="DG27" s="596"/>
      <c r="DH27" s="596"/>
      <c r="DI27" s="596"/>
      <c r="DJ27" s="596"/>
      <c r="DK27" s="596"/>
      <c r="DL27" s="596"/>
      <c r="DM27" s="596"/>
      <c r="DN27" s="596"/>
      <c r="DO27" s="596"/>
      <c r="DP27" s="596"/>
      <c r="DQ27" s="596"/>
      <c r="DR27" s="596"/>
      <c r="DS27" s="596"/>
      <c r="DT27" s="596"/>
      <c r="DU27" s="596"/>
      <c r="DV27" s="596"/>
      <c r="DW27" s="596"/>
      <c r="DX27" s="596"/>
      <c r="DY27" s="596"/>
      <c r="DZ27" s="596"/>
      <c r="EA27" s="596"/>
      <c r="EB27" s="596"/>
      <c r="EC27" s="596"/>
      <c r="ED27" s="596"/>
      <c r="EE27" s="596"/>
      <c r="EF27" s="596"/>
      <c r="EG27" s="596"/>
      <c r="EH27" s="596"/>
      <c r="EI27" s="596"/>
      <c r="EJ27" s="596"/>
      <c r="EK27" s="596"/>
      <c r="EL27" s="596"/>
      <c r="EM27" s="596"/>
      <c r="EN27" s="596"/>
      <c r="EO27" s="596"/>
      <c r="EP27" s="596"/>
      <c r="EQ27" s="596"/>
      <c r="ER27" s="596"/>
      <c r="ES27" s="596"/>
      <c r="ET27" s="596"/>
      <c r="EU27" s="596"/>
      <c r="EV27" s="596"/>
      <c r="EW27" s="596"/>
      <c r="EX27" s="596"/>
      <c r="EY27" s="596"/>
      <c r="EZ27" s="596"/>
      <c r="FA27" s="596"/>
      <c r="FB27" s="596"/>
      <c r="FC27" s="596"/>
      <c r="FD27" s="596"/>
      <c r="FE27" s="596"/>
      <c r="FF27" s="596"/>
      <c r="FG27" s="596"/>
      <c r="FH27" s="596"/>
      <c r="FI27" s="596"/>
      <c r="FJ27" s="596"/>
      <c r="FK27" s="596"/>
      <c r="FL27" s="596"/>
      <c r="FM27" s="596"/>
      <c r="FN27" s="596"/>
      <c r="FO27" s="596"/>
      <c r="FP27" s="596"/>
      <c r="FQ27" s="596"/>
      <c r="FR27" s="596"/>
      <c r="FS27" s="596"/>
      <c r="FT27" s="596"/>
      <c r="FU27" s="596"/>
      <c r="FV27" s="596"/>
      <c r="FW27" s="596"/>
      <c r="FX27" s="596"/>
      <c r="FY27" s="596"/>
      <c r="FZ27" s="596"/>
      <c r="GA27" s="596"/>
      <c r="GB27" s="596"/>
      <c r="GC27" s="596"/>
      <c r="GD27" s="596"/>
      <c r="GE27" s="596"/>
      <c r="GF27" s="596"/>
      <c r="GG27" s="596"/>
      <c r="GH27" s="596"/>
      <c r="GI27" s="596"/>
      <c r="GJ27" s="596"/>
      <c r="GK27" s="596"/>
      <c r="GL27" s="596"/>
      <c r="GM27" s="596"/>
      <c r="GN27" s="596"/>
      <c r="GO27" s="596"/>
      <c r="GP27" s="596"/>
      <c r="GQ27" s="596"/>
      <c r="GR27" s="596"/>
      <c r="GS27" s="596"/>
      <c r="GT27" s="596"/>
      <c r="GU27" s="596"/>
      <c r="GV27" s="596"/>
      <c r="GW27" s="596"/>
      <c r="GX27" s="596"/>
      <c r="GY27" s="596"/>
      <c r="GZ27" s="596"/>
      <c r="HA27" s="596"/>
      <c r="HB27" s="596"/>
      <c r="HC27" s="596"/>
      <c r="HD27" s="596"/>
      <c r="HE27" s="596"/>
      <c r="HF27" s="596"/>
      <c r="HG27" s="596"/>
      <c r="HH27" s="596"/>
      <c r="HI27" s="596"/>
      <c r="HJ27" s="596"/>
      <c r="HK27" s="596"/>
      <c r="HL27" s="596"/>
      <c r="HM27" s="596"/>
      <c r="HN27" s="596"/>
      <c r="HO27" s="596"/>
      <c r="HP27" s="596"/>
      <c r="HQ27" s="596"/>
      <c r="HR27" s="596"/>
      <c r="HS27" s="596"/>
      <c r="HT27" s="596"/>
      <c r="HU27" s="596"/>
      <c r="HV27" s="596"/>
      <c r="HW27" s="596"/>
      <c r="HX27" s="596"/>
      <c r="HY27" s="596"/>
      <c r="HZ27" s="596"/>
      <c r="IA27" s="596"/>
      <c r="IB27" s="596"/>
      <c r="IC27" s="596"/>
      <c r="ID27" s="596"/>
      <c r="IE27" s="596"/>
      <c r="IF27" s="596"/>
      <c r="IG27" s="596"/>
      <c r="IH27" s="596"/>
      <c r="II27" s="596"/>
      <c r="IJ27" s="596"/>
      <c r="IK27" s="596"/>
      <c r="IL27" s="596"/>
      <c r="IM27" s="596"/>
      <c r="IN27" s="596"/>
      <c r="IO27" s="596"/>
      <c r="IP27" s="596"/>
      <c r="IQ27" s="596"/>
      <c r="IR27" s="596"/>
      <c r="IS27" s="596"/>
      <c r="IT27" s="596"/>
      <c r="IU27" s="596"/>
      <c r="IV27" s="596"/>
      <c r="IW27" s="596"/>
      <c r="IX27" s="596"/>
      <c r="IY27" s="596"/>
      <c r="IZ27" s="596"/>
      <c r="JA27" s="596"/>
      <c r="JB27" s="596"/>
      <c r="JC27" s="596"/>
      <c r="JD27" s="596"/>
      <c r="JE27" s="596"/>
      <c r="JF27" s="596"/>
      <c r="JG27" s="596"/>
      <c r="JH27" s="596"/>
      <c r="JI27" s="596"/>
      <c r="JJ27" s="596"/>
      <c r="JK27" s="596"/>
      <c r="JL27" s="596"/>
      <c r="JM27" s="596"/>
      <c r="JN27" s="596"/>
      <c r="JO27" s="596"/>
      <c r="JP27" s="596"/>
      <c r="JQ27" s="596"/>
      <c r="JR27" s="596"/>
      <c r="JS27" s="596"/>
      <c r="JT27" s="596"/>
      <c r="JU27" s="596"/>
      <c r="JV27" s="596"/>
      <c r="JW27" s="596"/>
      <c r="JX27" s="596"/>
      <c r="JY27" s="596"/>
      <c r="JZ27" s="596"/>
      <c r="KA27" s="596"/>
      <c r="KB27" s="596"/>
      <c r="KC27" s="596"/>
      <c r="KD27" s="596"/>
      <c r="KE27" s="596"/>
      <c r="KF27" s="596"/>
      <c r="KG27" s="596"/>
      <c r="KH27" s="596"/>
      <c r="KI27" s="596"/>
      <c r="KJ27" s="596"/>
      <c r="KK27" s="596"/>
      <c r="KL27" s="596"/>
      <c r="KM27" s="596"/>
      <c r="KN27" s="596"/>
      <c r="KO27" s="596"/>
      <c r="KP27" s="596"/>
      <c r="KQ27" s="596"/>
      <c r="KR27" s="596"/>
      <c r="KS27" s="596"/>
      <c r="KT27" s="596"/>
      <c r="KU27" s="596"/>
      <c r="KV27" s="596"/>
      <c r="KW27" s="596"/>
      <c r="KX27" s="596"/>
      <c r="KY27" s="596"/>
      <c r="KZ27" s="596"/>
      <c r="LA27" s="596"/>
      <c r="LB27" s="596"/>
      <c r="LC27" s="596"/>
      <c r="LD27" s="596"/>
      <c r="LE27" s="596"/>
      <c r="LF27" s="596"/>
      <c r="LG27" s="596"/>
      <c r="LH27" s="596"/>
      <c r="LI27" s="596"/>
      <c r="LJ27" s="596"/>
      <c r="LK27" s="596"/>
      <c r="LL27" s="596"/>
      <c r="LM27" s="596"/>
      <c r="LN27" s="596"/>
      <c r="LO27" s="596"/>
      <c r="LP27" s="596"/>
      <c r="LQ27" s="596"/>
      <c r="LR27" s="596"/>
      <c r="LS27" s="596"/>
      <c r="LT27" s="596"/>
      <c r="LU27" s="596"/>
      <c r="LV27" s="596"/>
      <c r="LW27" s="596"/>
      <c r="LX27" s="596"/>
      <c r="LY27" s="596"/>
      <c r="LZ27" s="596"/>
      <c r="MA27" s="596"/>
      <c r="MB27" s="596"/>
      <c r="MC27" s="596"/>
      <c r="MD27" s="596"/>
      <c r="ME27" s="596"/>
      <c r="MF27" s="596"/>
      <c r="MG27" s="596"/>
      <c r="MH27" s="596"/>
      <c r="MI27" s="596"/>
      <c r="MJ27" s="596"/>
      <c r="MK27" s="596"/>
      <c r="ML27" s="596"/>
      <c r="MM27" s="596"/>
      <c r="MN27" s="596"/>
      <c r="MO27" s="596"/>
      <c r="MP27" s="596"/>
      <c r="MQ27" s="596"/>
      <c r="MR27" s="596"/>
      <c r="MS27" s="596"/>
      <c r="MT27" s="596"/>
      <c r="MU27" s="596"/>
      <c r="MV27" s="596"/>
      <c r="MW27" s="596"/>
      <c r="MX27" s="596"/>
      <c r="MY27" s="596"/>
      <c r="MZ27" s="596"/>
      <c r="NA27" s="596"/>
      <c r="NB27" s="596"/>
      <c r="NC27" s="596"/>
      <c r="ND27" s="596"/>
      <c r="NE27" s="596"/>
      <c r="NF27" s="596"/>
      <c r="NG27" s="596"/>
      <c r="NH27" s="596"/>
      <c r="NI27" s="596"/>
      <c r="NJ27" s="596"/>
      <c r="NK27" s="596"/>
      <c r="NL27" s="596"/>
      <c r="NM27" s="596"/>
      <c r="NN27" s="596"/>
      <c r="NO27" s="596"/>
      <c r="NP27" s="596"/>
      <c r="NQ27" s="596"/>
      <c r="NR27" s="596"/>
      <c r="NS27" s="596"/>
      <c r="NT27" s="596"/>
      <c r="NU27" s="596"/>
      <c r="NV27" s="596"/>
      <c r="NW27" s="596"/>
    </row>
    <row r="28" spans="1:387" ht="15.75" thickBot="1" x14ac:dyDescent="0.3">
      <c r="A28" s="384"/>
      <c r="B28" s="413"/>
      <c r="C28" s="415"/>
      <c r="D28" s="415"/>
      <c r="E28" s="415"/>
      <c r="F28" s="415"/>
      <c r="G28" s="415"/>
      <c r="H28" s="415"/>
      <c r="I28" s="415"/>
      <c r="J28" s="415"/>
      <c r="K28" s="415"/>
      <c r="L28" s="415"/>
      <c r="M28" s="415"/>
      <c r="N28" s="415"/>
      <c r="O28" s="415"/>
      <c r="P28" s="415"/>
      <c r="Q28" s="415"/>
      <c r="R28" s="415"/>
      <c r="S28" s="415"/>
      <c r="T28" s="415"/>
      <c r="U28" s="415"/>
      <c r="V28" s="415"/>
      <c r="W28" s="415"/>
      <c r="X28" s="424"/>
      <c r="Y28" s="384"/>
      <c r="Z28" s="384"/>
      <c r="AA28" s="384"/>
      <c r="AB28" s="384"/>
      <c r="AC28" s="384"/>
      <c r="AD28" s="384"/>
      <c r="AE28" s="384"/>
      <c r="AF28" s="384"/>
      <c r="AG28" s="384"/>
      <c r="AH28" s="384"/>
      <c r="AI28" s="384"/>
      <c r="AJ28" s="384"/>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row>
    <row r="29" spans="1:387" customFormat="1" ht="15.75" thickBot="1" x14ac:dyDescent="0.3">
      <c r="A29" s="384"/>
      <c r="B29" s="384"/>
      <c r="C29" s="384"/>
      <c r="D29" s="384"/>
      <c r="E29" s="384"/>
      <c r="F29" s="384"/>
      <c r="G29" s="384"/>
      <c r="H29" s="384"/>
      <c r="I29" s="384"/>
      <c r="J29" s="384"/>
      <c r="K29" s="384"/>
      <c r="L29" s="384"/>
      <c r="M29" s="384"/>
      <c r="N29" s="384"/>
      <c r="O29" s="384"/>
      <c r="P29" s="384"/>
      <c r="Q29" s="384"/>
      <c r="R29" s="384"/>
      <c r="S29" s="384"/>
      <c r="T29" s="384"/>
      <c r="U29" s="384"/>
      <c r="V29" s="384"/>
      <c r="W29" s="384"/>
      <c r="X29" s="384"/>
      <c r="Y29" s="384"/>
      <c r="Z29" s="384"/>
      <c r="AA29" s="384"/>
      <c r="AB29" s="384"/>
      <c r="AC29" s="384"/>
      <c r="AD29" s="384"/>
      <c r="AE29" s="384"/>
      <c r="AF29" s="384"/>
      <c r="AG29" s="384"/>
      <c r="AH29" s="384"/>
      <c r="AI29" s="384"/>
      <c r="AJ29" s="384"/>
    </row>
    <row r="30" spans="1:387" ht="30" customHeight="1" x14ac:dyDescent="0.35">
      <c r="A30" s="384"/>
      <c r="B30" s="399"/>
      <c r="C30" s="400" t="s">
        <v>959</v>
      </c>
      <c r="D30" s="401"/>
      <c r="E30" s="401"/>
      <c r="F30" s="401"/>
      <c r="G30" s="401"/>
      <c r="H30" s="401"/>
      <c r="I30" s="401"/>
      <c r="J30" s="402"/>
      <c r="K30" s="384"/>
      <c r="L30" s="384"/>
      <c r="M30" s="384"/>
      <c r="N30" s="384"/>
      <c r="O30" s="384"/>
      <c r="P30" s="384"/>
      <c r="Q30" s="384"/>
      <c r="R30" s="384"/>
      <c r="S30" s="384"/>
      <c r="T30" s="384"/>
      <c r="U30" s="384"/>
      <c r="V30" s="384"/>
      <c r="W30" s="384"/>
      <c r="X30" s="384"/>
      <c r="Y30" s="384"/>
      <c r="Z30" s="384"/>
      <c r="AA30" s="384"/>
      <c r="AB30" s="384"/>
      <c r="AC30" s="384"/>
      <c r="AD30" s="384"/>
      <c r="AE30" s="384"/>
      <c r="AF30" s="384"/>
      <c r="AG30" s="384"/>
      <c r="AH30" s="384"/>
      <c r="AI30" s="384"/>
      <c r="AJ30" s="384"/>
      <c r="AQ30" s="377"/>
    </row>
    <row r="31" spans="1:387" ht="15.75" x14ac:dyDescent="0.25">
      <c r="A31" s="384"/>
      <c r="B31" s="403"/>
      <c r="C31" s="390"/>
      <c r="D31" s="390"/>
      <c r="E31" s="390"/>
      <c r="G31" s="391"/>
      <c r="H31" s="391"/>
      <c r="I31" s="390"/>
      <c r="J31" s="404"/>
      <c r="K31" s="384"/>
      <c r="L31" s="384"/>
      <c r="M31" s="384"/>
      <c r="N31" s="384"/>
      <c r="O31" s="384"/>
      <c r="P31" s="384"/>
      <c r="Q31" s="384"/>
      <c r="R31" s="384"/>
      <c r="S31" s="384"/>
      <c r="T31" s="384"/>
      <c r="U31" s="384"/>
      <c r="V31" s="384"/>
      <c r="W31" s="384"/>
      <c r="X31" s="384"/>
      <c r="Y31" s="384"/>
      <c r="Z31" s="384"/>
      <c r="AA31" s="384"/>
      <c r="AB31" s="384"/>
      <c r="AC31" s="384"/>
      <c r="AD31" s="384"/>
      <c r="AE31" s="384"/>
      <c r="AF31" s="384"/>
      <c r="AG31" s="384"/>
      <c r="AH31" s="384"/>
      <c r="AI31" s="384"/>
      <c r="AJ31" s="384"/>
      <c r="AQ31" s="378"/>
      <c r="AR31" s="377"/>
      <c r="AS31" s="379"/>
    </row>
    <row r="32" spans="1:387" ht="15.75" x14ac:dyDescent="0.25">
      <c r="A32" s="384"/>
      <c r="B32" s="405"/>
      <c r="C32" s="390"/>
      <c r="D32" s="390"/>
      <c r="E32" s="390"/>
      <c r="G32" s="390"/>
      <c r="H32" s="390"/>
      <c r="I32" s="390"/>
      <c r="J32" s="406"/>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4"/>
      <c r="AI32" s="384"/>
      <c r="AJ32" s="384"/>
      <c r="AQ32" s="377"/>
      <c r="AR32" s="377"/>
      <c r="AS32" s="379"/>
    </row>
    <row r="33" spans="1:45" ht="21" x14ac:dyDescent="0.35">
      <c r="A33" s="384"/>
      <c r="B33" s="405"/>
      <c r="C33" s="392" t="s">
        <v>208</v>
      </c>
      <c r="D33" s="390"/>
      <c r="E33" s="390"/>
      <c r="G33" s="390"/>
      <c r="H33" s="391" t="s">
        <v>279</v>
      </c>
      <c r="I33" s="390"/>
      <c r="J33" s="406"/>
      <c r="K33" s="384"/>
      <c r="L33" s="384"/>
      <c r="M33" s="384"/>
      <c r="N33" s="384"/>
      <c r="O33" s="384"/>
      <c r="P33" s="384"/>
      <c r="Q33" s="384"/>
      <c r="R33" s="384"/>
      <c r="S33" s="384"/>
      <c r="T33" s="384"/>
      <c r="U33" s="384"/>
      <c r="V33" s="384"/>
      <c r="W33" s="384"/>
      <c r="X33" s="384"/>
      <c r="Y33" s="387"/>
      <c r="Z33" s="384"/>
      <c r="AA33" s="384"/>
      <c r="AB33" s="384"/>
      <c r="AC33" s="384"/>
      <c r="AD33" s="384"/>
      <c r="AE33" s="384"/>
      <c r="AF33" s="384"/>
      <c r="AG33" s="384"/>
      <c r="AH33" s="384"/>
      <c r="AI33" s="384"/>
      <c r="AJ33" s="384"/>
      <c r="AQ33" s="377"/>
      <c r="AR33" s="377"/>
      <c r="AS33" s="379"/>
    </row>
    <row r="34" spans="1:45" ht="15.75" x14ac:dyDescent="0.25">
      <c r="A34" s="384"/>
      <c r="B34" s="407"/>
      <c r="C34" s="380" t="s">
        <v>212</v>
      </c>
      <c r="D34" s="438" t="s">
        <v>155</v>
      </c>
      <c r="E34" s="393"/>
      <c r="G34" s="393"/>
      <c r="H34" s="374" t="s">
        <v>99</v>
      </c>
      <c r="I34" s="442">
        <v>7.0000000000000007E-2</v>
      </c>
      <c r="J34" s="408"/>
      <c r="K34" s="384"/>
      <c r="L34" s="384"/>
      <c r="M34" s="385"/>
      <c r="N34" s="384"/>
      <c r="O34" s="384"/>
      <c r="P34" s="384"/>
      <c r="Q34" s="384"/>
      <c r="R34" s="384"/>
      <c r="S34" s="384"/>
      <c r="T34" s="384"/>
      <c r="U34" s="384"/>
      <c r="V34" s="384"/>
      <c r="W34" s="384"/>
      <c r="X34" s="384"/>
      <c r="Y34" s="384"/>
      <c r="Z34" s="384"/>
      <c r="AA34" s="384"/>
      <c r="AB34" s="384"/>
      <c r="AC34" s="384"/>
      <c r="AD34" s="384"/>
      <c r="AE34" s="384"/>
      <c r="AF34" s="384"/>
      <c r="AG34" s="384"/>
      <c r="AH34" s="384"/>
      <c r="AI34" s="384"/>
      <c r="AJ34" s="384"/>
      <c r="AQ34" s="377"/>
      <c r="AR34" s="377"/>
      <c r="AS34" s="379"/>
    </row>
    <row r="35" spans="1:45" ht="15.75" x14ac:dyDescent="0.25">
      <c r="A35" s="384"/>
      <c r="B35" s="407"/>
      <c r="C35" s="380" t="str">
        <f>IF(D34="Yes","Is rental data based on market valuations?","")</f>
        <v/>
      </c>
      <c r="D35" s="438" t="s">
        <v>155</v>
      </c>
      <c r="E35" s="393"/>
      <c r="G35" s="393"/>
      <c r="H35" s="374" t="s">
        <v>1016</v>
      </c>
      <c r="I35" s="447">
        <v>0</v>
      </c>
      <c r="J35" s="408"/>
      <c r="K35" s="384"/>
      <c r="L35" s="384"/>
      <c r="M35" s="385"/>
      <c r="N35" s="384"/>
      <c r="O35" s="384"/>
      <c r="P35" s="384"/>
      <c r="Q35" s="384"/>
      <c r="R35" s="384"/>
      <c r="S35" s="384"/>
      <c r="T35" s="384"/>
      <c r="U35" s="384"/>
      <c r="V35" s="384"/>
      <c r="W35" s="384"/>
      <c r="X35" s="384"/>
      <c r="Y35" s="384"/>
      <c r="Z35" s="384"/>
      <c r="AA35" s="384"/>
      <c r="AB35" s="384"/>
      <c r="AC35" s="384"/>
      <c r="AD35" s="384"/>
      <c r="AE35" s="384"/>
      <c r="AF35" s="384"/>
      <c r="AG35" s="384"/>
      <c r="AH35" s="384"/>
      <c r="AI35" s="384"/>
      <c r="AJ35" s="384"/>
      <c r="AQ35" s="377"/>
      <c r="AR35" s="377"/>
      <c r="AS35" s="379"/>
    </row>
    <row r="36" spans="1:45" ht="15.75" x14ac:dyDescent="0.25">
      <c r="A36" s="384"/>
      <c r="B36" s="407"/>
      <c r="C36" s="393"/>
      <c r="D36" s="393"/>
      <c r="E36" s="393"/>
      <c r="G36" s="393"/>
      <c r="H36" s="393"/>
      <c r="I36" s="393"/>
      <c r="J36" s="408"/>
      <c r="K36" s="384"/>
      <c r="L36" s="384"/>
      <c r="M36" s="385"/>
      <c r="N36" s="384"/>
      <c r="O36" s="384"/>
      <c r="P36" s="384"/>
      <c r="Q36" s="384"/>
      <c r="R36" s="384"/>
      <c r="S36" s="384"/>
      <c r="T36" s="384"/>
      <c r="U36" s="384"/>
      <c r="V36" s="384"/>
      <c r="W36" s="384"/>
      <c r="X36" s="384"/>
      <c r="Y36" s="384"/>
      <c r="Z36" s="384"/>
      <c r="AA36" s="384"/>
      <c r="AB36" s="384"/>
      <c r="AC36" s="384"/>
      <c r="AD36" s="384"/>
      <c r="AE36" s="384"/>
      <c r="AF36" s="384"/>
      <c r="AG36" s="384"/>
      <c r="AH36" s="384"/>
      <c r="AI36" s="384"/>
      <c r="AJ36" s="384"/>
    </row>
    <row r="37" spans="1:45" ht="15.75" x14ac:dyDescent="0.25">
      <c r="A37" s="384"/>
      <c r="B37" s="407"/>
      <c r="C37" s="391" t="s">
        <v>199</v>
      </c>
      <c r="D37" s="393"/>
      <c r="E37" s="393"/>
      <c r="G37" s="393"/>
      <c r="H37" s="391" t="s">
        <v>210</v>
      </c>
      <c r="I37" s="393"/>
      <c r="J37" s="409"/>
      <c r="K37" s="384"/>
      <c r="L37" s="384"/>
      <c r="M37" s="385"/>
      <c r="N37" s="384"/>
      <c r="O37" s="384"/>
      <c r="P37" s="384"/>
      <c r="Q37" s="384"/>
      <c r="R37" s="384"/>
      <c r="S37" s="384"/>
      <c r="T37" s="384"/>
      <c r="U37" s="384"/>
      <c r="V37" s="384"/>
      <c r="W37" s="384"/>
      <c r="X37" s="384"/>
      <c r="Y37" s="384"/>
      <c r="Z37" s="384"/>
      <c r="AA37" s="384"/>
      <c r="AB37" s="384"/>
      <c r="AC37" s="384"/>
      <c r="AD37" s="384"/>
      <c r="AE37" s="384"/>
      <c r="AF37" s="384"/>
      <c r="AG37" s="384"/>
      <c r="AH37" s="384"/>
      <c r="AI37" s="384"/>
      <c r="AJ37" s="384"/>
    </row>
    <row r="38" spans="1:45" ht="15.75" x14ac:dyDescent="0.25">
      <c r="A38" s="384"/>
      <c r="B38" s="407"/>
      <c r="C38" s="393" t="s">
        <v>12</v>
      </c>
      <c r="D38" s="438" t="s">
        <v>163</v>
      </c>
      <c r="E38" s="446"/>
      <c r="G38" s="393"/>
      <c r="H38" s="393" t="s">
        <v>209</v>
      </c>
      <c r="I38" s="438">
        <v>2023</v>
      </c>
      <c r="J38" s="409"/>
      <c r="K38" s="384"/>
      <c r="L38" s="384"/>
      <c r="M38" s="385"/>
      <c r="N38" s="384"/>
      <c r="O38" s="384"/>
      <c r="P38" s="384"/>
      <c r="Q38" s="384"/>
      <c r="R38" s="384"/>
      <c r="S38" s="384"/>
      <c r="T38" s="384"/>
      <c r="U38" s="384"/>
      <c r="V38" s="384"/>
      <c r="W38" s="384"/>
      <c r="X38" s="384"/>
      <c r="Y38" s="384"/>
      <c r="Z38" s="384"/>
      <c r="AA38" s="384"/>
      <c r="AB38" s="384"/>
      <c r="AC38" s="384"/>
      <c r="AD38" s="384"/>
      <c r="AE38" s="384"/>
      <c r="AF38" s="384"/>
      <c r="AG38" s="384"/>
      <c r="AH38" s="384"/>
      <c r="AI38" s="384"/>
      <c r="AJ38" s="384"/>
    </row>
    <row r="39" spans="1:45" ht="15.75" x14ac:dyDescent="0.25">
      <c r="A39" s="384"/>
      <c r="B39" s="407"/>
      <c r="C39" s="394" t="s">
        <v>403</v>
      </c>
      <c r="D39" s="601" t="s">
        <v>331</v>
      </c>
      <c r="E39" s="601"/>
      <c r="G39" s="393"/>
      <c r="H39" s="393"/>
      <c r="I39" s="393"/>
      <c r="J39" s="409"/>
      <c r="K39" s="384"/>
      <c r="L39" s="384"/>
      <c r="M39" s="385"/>
      <c r="N39" s="384"/>
      <c r="O39" s="384"/>
      <c r="P39" s="384"/>
      <c r="Q39" s="384"/>
      <c r="R39" s="384"/>
      <c r="S39" s="384"/>
      <c r="T39" s="384"/>
      <c r="U39" s="384"/>
      <c r="V39" s="384"/>
      <c r="W39" s="384"/>
      <c r="X39" s="384"/>
      <c r="Y39" s="384"/>
      <c r="Z39" s="384"/>
      <c r="AA39" s="384"/>
      <c r="AB39" s="384"/>
      <c r="AC39" s="384"/>
      <c r="AD39" s="384"/>
      <c r="AE39" s="384"/>
      <c r="AF39" s="384"/>
      <c r="AG39" s="384"/>
      <c r="AH39" s="384"/>
      <c r="AI39" s="384"/>
      <c r="AJ39" s="384"/>
    </row>
    <row r="40" spans="1:45" ht="15.75" x14ac:dyDescent="0.25">
      <c r="A40" s="384"/>
      <c r="B40" s="407"/>
      <c r="C40" s="394"/>
      <c r="D40" s="601"/>
      <c r="E40" s="601"/>
      <c r="G40" s="393"/>
      <c r="H40" s="391" t="s">
        <v>202</v>
      </c>
      <c r="I40" s="393"/>
      <c r="J40" s="409"/>
      <c r="K40" s="384"/>
      <c r="L40" s="384"/>
      <c r="M40" s="385"/>
      <c r="N40" s="384"/>
      <c r="O40" s="384"/>
      <c r="P40" s="384"/>
      <c r="Q40" s="384"/>
      <c r="R40" s="384"/>
      <c r="S40" s="384"/>
      <c r="T40" s="384"/>
      <c r="U40" s="384"/>
      <c r="V40" s="384"/>
      <c r="W40" s="384"/>
      <c r="X40" s="384"/>
      <c r="Y40" s="384"/>
      <c r="Z40" s="384"/>
      <c r="AA40" s="384"/>
      <c r="AB40" s="384"/>
      <c r="AC40" s="384"/>
      <c r="AD40" s="384"/>
      <c r="AE40" s="384"/>
      <c r="AF40" s="384"/>
      <c r="AG40" s="384"/>
      <c r="AH40" s="384"/>
      <c r="AI40" s="384"/>
      <c r="AJ40" s="384"/>
    </row>
    <row r="41" spans="1:45" ht="15.75" x14ac:dyDescent="0.25">
      <c r="A41" s="384"/>
      <c r="B41" s="407"/>
      <c r="C41" s="395" t="str">
        <f ca="1">IF(IFERROR(VLOOKUP(D39,INDIRECT(D38&amp;"[Table]"),1,FALSE),"FALSE")="FALSE","NOTE: Selected SUA not found in selected state/territory","")</f>
        <v/>
      </c>
      <c r="D41" s="395"/>
      <c r="E41" s="395"/>
      <c r="G41" s="393"/>
      <c r="H41" s="394" t="s">
        <v>201</v>
      </c>
      <c r="I41" s="448">
        <v>0.74990000000000001</v>
      </c>
      <c r="J41" s="409"/>
      <c r="K41" s="384"/>
      <c r="L41" s="384"/>
      <c r="M41" s="385"/>
      <c r="N41" s="384"/>
      <c r="O41" s="384"/>
      <c r="P41" s="384"/>
      <c r="Q41" s="384"/>
      <c r="R41" s="384"/>
      <c r="S41" s="384"/>
      <c r="T41" s="384"/>
      <c r="U41" s="384"/>
      <c r="V41" s="384"/>
      <c r="W41" s="384"/>
      <c r="X41" s="384"/>
      <c r="Y41" s="384"/>
      <c r="Z41" s="384"/>
      <c r="AA41" s="384"/>
      <c r="AB41" s="384"/>
      <c r="AC41" s="384"/>
      <c r="AD41" s="384"/>
      <c r="AE41" s="384"/>
      <c r="AF41" s="384"/>
      <c r="AG41" s="384"/>
      <c r="AH41" s="384"/>
      <c r="AI41" s="384"/>
      <c r="AJ41" s="384"/>
    </row>
    <row r="42" spans="1:45" ht="15.75" x14ac:dyDescent="0.25">
      <c r="A42" s="384"/>
      <c r="B42" s="407"/>
      <c r="C42" s="373"/>
      <c r="D42" s="373"/>
      <c r="E42" s="373"/>
      <c r="G42" s="393"/>
      <c r="H42" s="393"/>
      <c r="I42" s="393"/>
      <c r="J42" s="409"/>
      <c r="K42" s="384"/>
      <c r="L42" s="384"/>
      <c r="M42" s="385"/>
      <c r="N42" s="384"/>
      <c r="O42" s="384"/>
      <c r="P42" s="384"/>
      <c r="Q42" s="384"/>
      <c r="R42" s="384"/>
      <c r="S42" s="384"/>
      <c r="T42" s="384"/>
      <c r="U42" s="384"/>
      <c r="V42" s="384"/>
      <c r="W42" s="384"/>
      <c r="X42" s="384"/>
      <c r="Y42" s="384"/>
      <c r="Z42" s="384"/>
      <c r="AA42" s="384"/>
      <c r="AB42" s="384"/>
      <c r="AC42" s="384"/>
      <c r="AD42" s="384"/>
      <c r="AE42" s="384"/>
      <c r="AF42" s="384"/>
      <c r="AG42" s="384"/>
      <c r="AH42" s="384"/>
      <c r="AI42" s="384"/>
      <c r="AJ42" s="384"/>
    </row>
    <row r="43" spans="1:45" ht="15.75" x14ac:dyDescent="0.25">
      <c r="A43" s="384"/>
      <c r="B43" s="407"/>
      <c r="C43" s="391" t="s">
        <v>1019</v>
      </c>
      <c r="D43" s="373"/>
      <c r="E43" s="373"/>
      <c r="G43" s="373"/>
      <c r="H43" s="373"/>
      <c r="I43" s="373"/>
      <c r="J43" s="410"/>
      <c r="K43" s="384"/>
      <c r="L43" s="384"/>
      <c r="M43" s="385"/>
      <c r="N43" s="384"/>
      <c r="O43" s="384"/>
      <c r="P43" s="384"/>
      <c r="Q43" s="384"/>
      <c r="R43" s="384"/>
      <c r="S43" s="384"/>
      <c r="T43" s="384"/>
      <c r="U43" s="384"/>
      <c r="V43" s="384"/>
      <c r="W43" s="384"/>
      <c r="X43" s="384"/>
      <c r="Y43" s="384"/>
      <c r="Z43" s="384"/>
      <c r="AA43" s="384"/>
      <c r="AB43" s="384"/>
      <c r="AC43" s="384"/>
      <c r="AD43" s="384"/>
      <c r="AE43" s="384"/>
      <c r="AF43" s="384"/>
      <c r="AG43" s="384"/>
      <c r="AH43" s="384"/>
      <c r="AI43" s="384"/>
      <c r="AJ43" s="384"/>
    </row>
    <row r="44" spans="1:45" ht="15.75" x14ac:dyDescent="0.25">
      <c r="A44" s="384"/>
      <c r="B44" s="407"/>
      <c r="C44" s="391" t="s">
        <v>200</v>
      </c>
      <c r="D44" s="393"/>
      <c r="E44" s="393"/>
      <c r="G44" s="393"/>
      <c r="H44" s="396"/>
      <c r="I44" s="393"/>
      <c r="J44" s="409"/>
      <c r="K44" s="384"/>
      <c r="L44" s="384"/>
      <c r="M44" s="385"/>
      <c r="N44" s="384"/>
      <c r="O44" s="384"/>
      <c r="P44" s="384"/>
      <c r="Q44" s="384"/>
      <c r="R44" s="384"/>
      <c r="S44" s="384"/>
      <c r="T44" s="384"/>
      <c r="U44" s="384"/>
      <c r="V44" s="384"/>
      <c r="W44" s="384"/>
      <c r="X44" s="384"/>
      <c r="Y44" s="384"/>
      <c r="Z44" s="384"/>
      <c r="AA44" s="384"/>
      <c r="AB44" s="384"/>
      <c r="AC44" s="384"/>
      <c r="AD44" s="384"/>
      <c r="AE44" s="384"/>
      <c r="AF44" s="384"/>
      <c r="AG44" s="384"/>
      <c r="AH44" s="384"/>
      <c r="AI44" s="384"/>
      <c r="AJ44" s="384"/>
    </row>
    <row r="45" spans="1:45" ht="31.5" x14ac:dyDescent="0.25">
      <c r="A45" s="384"/>
      <c r="B45" s="405"/>
      <c r="C45" s="397" t="s">
        <v>205</v>
      </c>
      <c r="D45" s="392" t="str">
        <f>IF($D$34="Yes","User","Not Used")</f>
        <v>Not Used</v>
      </c>
      <c r="E45" s="392" t="s">
        <v>203</v>
      </c>
      <c r="G45" s="390"/>
      <c r="H45" s="397" t="s">
        <v>204</v>
      </c>
      <c r="I45" s="392" t="str">
        <f>IF($D$34="Yes","User","Not Used")</f>
        <v>Not Used</v>
      </c>
      <c r="J45" s="411" t="s">
        <v>203</v>
      </c>
      <c r="K45" s="384"/>
      <c r="L45" s="384"/>
      <c r="M45" s="386"/>
      <c r="N45" s="384"/>
      <c r="O45" s="384"/>
      <c r="P45" s="384"/>
      <c r="Q45" s="384"/>
      <c r="R45" s="384"/>
      <c r="S45" s="384"/>
      <c r="T45" s="384"/>
      <c r="U45" s="384"/>
      <c r="V45" s="384"/>
      <c r="W45" s="384"/>
      <c r="X45" s="384"/>
      <c r="Y45" s="384"/>
      <c r="Z45" s="384"/>
      <c r="AA45" s="384"/>
      <c r="AB45" s="384"/>
      <c r="AC45" s="384"/>
      <c r="AD45" s="384"/>
      <c r="AE45" s="384"/>
      <c r="AF45" s="384"/>
      <c r="AG45" s="384"/>
      <c r="AH45" s="384"/>
      <c r="AI45" s="384"/>
      <c r="AJ45" s="384"/>
    </row>
    <row r="46" spans="1:45" ht="15.75" x14ac:dyDescent="0.25">
      <c r="A46" s="384"/>
      <c r="B46" s="407"/>
      <c r="C46" s="393" t="s">
        <v>6</v>
      </c>
      <c r="D46" s="449"/>
      <c r="E46" s="597">
        <f>ROUND(IF($D$34="Yes",D46,VLOOKUP($D$39,'Look-ups_2'!$B$4:$AB$113,7,FALSE)),0)</f>
        <v>276</v>
      </c>
      <c r="G46" s="393"/>
      <c r="H46" s="393" t="s">
        <v>10</v>
      </c>
      <c r="I46" s="449"/>
      <c r="J46" s="598">
        <f>ROUND(IF($D$34="Yes",I46,VLOOKUP($D$39,'Look-ups_2'!$B$4:$AB$113,13,FALSE)),0)</f>
        <v>280</v>
      </c>
      <c r="K46" s="384"/>
      <c r="L46" s="384"/>
      <c r="M46" s="385"/>
      <c r="N46" s="384"/>
      <c r="O46" s="384"/>
      <c r="P46" s="384"/>
      <c r="Q46" s="384"/>
      <c r="R46" s="384"/>
      <c r="S46" s="384"/>
      <c r="T46" s="384"/>
      <c r="U46" s="384"/>
      <c r="V46" s="384"/>
      <c r="W46" s="384"/>
      <c r="X46" s="384"/>
      <c r="Y46" s="384"/>
      <c r="Z46" s="384"/>
      <c r="AA46" s="384"/>
      <c r="AB46" s="384"/>
      <c r="AC46" s="384"/>
      <c r="AD46" s="384"/>
      <c r="AE46" s="384"/>
      <c r="AF46" s="384"/>
      <c r="AG46" s="384"/>
      <c r="AH46" s="384"/>
      <c r="AI46" s="384"/>
      <c r="AJ46" s="384"/>
    </row>
    <row r="47" spans="1:45" ht="15.75" x14ac:dyDescent="0.25">
      <c r="A47" s="384"/>
      <c r="B47" s="407"/>
      <c r="C47" s="393" t="s">
        <v>7</v>
      </c>
      <c r="D47" s="449"/>
      <c r="E47" s="597">
        <f>ROUND(IF($D$34="Yes",D47,VLOOKUP($D$39,'Look-ups_2'!$B$4:$AB$113,8,FALSE)),0)</f>
        <v>398</v>
      </c>
      <c r="G47" s="393"/>
      <c r="H47" s="393" t="s">
        <v>6</v>
      </c>
      <c r="I47" s="449"/>
      <c r="J47" s="598">
        <f>ROUND(IF($D$34="Yes",I47,VLOOKUP($D$39,'Look-ups_2'!$B$4:$AB$113,14,FALSE)),0)</f>
        <v>377</v>
      </c>
      <c r="K47" s="384"/>
      <c r="L47" s="384"/>
      <c r="M47" s="385"/>
      <c r="N47" s="384"/>
      <c r="O47" s="384"/>
      <c r="P47" s="384"/>
      <c r="Q47" s="384"/>
      <c r="R47" s="384"/>
      <c r="S47" s="384"/>
      <c r="T47" s="384"/>
      <c r="U47" s="384"/>
      <c r="V47" s="384"/>
      <c r="W47" s="384"/>
      <c r="X47" s="384"/>
      <c r="Y47" s="384"/>
      <c r="Z47" s="384"/>
      <c r="AA47" s="384"/>
      <c r="AB47" s="384"/>
      <c r="AC47" s="384"/>
      <c r="AD47" s="384"/>
      <c r="AE47" s="384"/>
      <c r="AF47" s="384"/>
      <c r="AG47" s="384"/>
      <c r="AH47" s="384"/>
      <c r="AI47" s="384"/>
      <c r="AJ47" s="384"/>
    </row>
    <row r="48" spans="1:45" ht="15.75" x14ac:dyDescent="0.25">
      <c r="A48" s="384"/>
      <c r="B48" s="407"/>
      <c r="C48" s="393" t="s">
        <v>8</v>
      </c>
      <c r="D48" s="449"/>
      <c r="E48" s="597">
        <f>ROUND(IF($D$34="Yes",D48,VLOOKUP($D$39,'Look-ups_2'!$B$4:$AB$113,9,FALSE)),0)</f>
        <v>486</v>
      </c>
      <c r="G48" s="393"/>
      <c r="H48" s="393" t="s">
        <v>7</v>
      </c>
      <c r="I48" s="449"/>
      <c r="J48" s="598">
        <f>ROUND(IF($D$34="Yes",I48,VLOOKUP($D$39,'Look-ups_2'!$B$4:$AB$113,15,FALSE)),0)</f>
        <v>404</v>
      </c>
      <c r="K48" s="384"/>
      <c r="L48" s="384"/>
      <c r="M48" s="385"/>
      <c r="N48" s="384"/>
      <c r="O48" s="384"/>
      <c r="P48" s="384"/>
      <c r="Q48" s="384"/>
      <c r="R48" s="384"/>
      <c r="S48" s="384"/>
      <c r="T48" s="384"/>
      <c r="U48" s="384"/>
      <c r="V48" s="384"/>
      <c r="W48" s="384"/>
      <c r="X48" s="384"/>
      <c r="Y48" s="384"/>
      <c r="Z48" s="384"/>
      <c r="AA48" s="384"/>
      <c r="AB48" s="384"/>
      <c r="AC48" s="384"/>
      <c r="AD48" s="384"/>
      <c r="AE48" s="384"/>
      <c r="AF48" s="384"/>
      <c r="AG48" s="384"/>
      <c r="AH48" s="384"/>
      <c r="AI48" s="384"/>
      <c r="AJ48" s="384"/>
    </row>
    <row r="49" spans="1:131" ht="15.75" x14ac:dyDescent="0.25">
      <c r="A49" s="384"/>
      <c r="B49" s="407"/>
      <c r="C49" s="393" t="s">
        <v>9</v>
      </c>
      <c r="D49" s="449"/>
      <c r="E49" s="597">
        <f>ROUND(IF($D$34="Yes",D49,VLOOKUP($D$39,'Look-ups_2'!$B$4:$AB$113,10,FALSE)),0)</f>
        <v>619</v>
      </c>
      <c r="G49" s="393"/>
      <c r="H49" s="393" t="s">
        <v>8</v>
      </c>
      <c r="I49" s="449"/>
      <c r="J49" s="598">
        <f>ROUND(IF($D$34="Yes",I49,VLOOKUP($D$39,'Look-ups_2'!$B$4:$AB$113,16,FALSE)),0)</f>
        <v>528</v>
      </c>
      <c r="K49" s="384"/>
      <c r="L49" s="384"/>
      <c r="M49" s="385"/>
      <c r="N49" s="384"/>
      <c r="O49" s="384"/>
      <c r="P49" s="384"/>
      <c r="Q49" s="384"/>
      <c r="R49" s="384"/>
      <c r="S49" s="384"/>
      <c r="T49" s="384"/>
      <c r="U49" s="384"/>
      <c r="V49" s="384"/>
      <c r="W49" s="384"/>
      <c r="X49" s="384"/>
      <c r="Y49" s="384"/>
      <c r="Z49" s="384"/>
      <c r="AA49" s="384"/>
      <c r="AB49" s="384"/>
      <c r="AC49" s="384"/>
      <c r="AD49" s="384"/>
      <c r="AE49" s="384"/>
      <c r="AF49" s="384"/>
      <c r="AG49" s="384"/>
      <c r="AH49" s="384"/>
      <c r="AI49" s="384"/>
      <c r="AJ49" s="384"/>
    </row>
    <row r="50" spans="1:131" ht="15.75" x14ac:dyDescent="0.25">
      <c r="A50" s="384"/>
      <c r="B50" s="405"/>
      <c r="C50" s="393" t="s">
        <v>11</v>
      </c>
      <c r="D50" s="449"/>
      <c r="E50" s="597">
        <f>ROUND(IF($D$34="Yes",D50,VLOOKUP($D$39,'Look-ups_2'!$B$4:$AB$113,11,FALSE)),0)</f>
        <v>746</v>
      </c>
      <c r="G50" s="393"/>
      <c r="H50" s="393" t="s">
        <v>9</v>
      </c>
      <c r="I50" s="449"/>
      <c r="J50" s="598">
        <f>ROUND(IF($D$34="Yes",I50,VLOOKUP($D$39,'Look-ups_2'!$B$4:$AB$113,17,FALSE)),0)</f>
        <v>593</v>
      </c>
      <c r="K50" s="384"/>
      <c r="L50" s="384"/>
      <c r="M50" s="384"/>
      <c r="N50" s="384"/>
      <c r="O50" s="384"/>
      <c r="P50" s="384"/>
      <c r="Q50" s="384"/>
      <c r="R50" s="384"/>
      <c r="S50" s="384"/>
      <c r="T50" s="384"/>
      <c r="U50" s="384"/>
      <c r="V50" s="384"/>
      <c r="W50" s="384"/>
      <c r="X50" s="384"/>
      <c r="Y50" s="384"/>
      <c r="Z50" s="384"/>
      <c r="AA50" s="384"/>
      <c r="AB50" s="384"/>
      <c r="AC50" s="384"/>
      <c r="AD50" s="384"/>
      <c r="AE50" s="384"/>
      <c r="AF50" s="384"/>
      <c r="AG50" s="384"/>
      <c r="AH50" s="384"/>
      <c r="AI50" s="384"/>
      <c r="AJ50" s="384"/>
    </row>
    <row r="51" spans="1:131" ht="15.75" x14ac:dyDescent="0.25">
      <c r="A51" s="384"/>
      <c r="B51" s="403"/>
      <c r="C51" s="390"/>
      <c r="D51" s="390"/>
      <c r="E51" s="390"/>
      <c r="G51" s="392"/>
      <c r="H51" s="390"/>
      <c r="I51" s="390"/>
      <c r="J51" s="404"/>
      <c r="K51" s="384"/>
      <c r="L51" s="384"/>
      <c r="M51" s="384"/>
      <c r="N51" s="384"/>
      <c r="O51" s="384"/>
      <c r="P51" s="384"/>
      <c r="Q51" s="384"/>
      <c r="R51" s="384"/>
      <c r="S51" s="384"/>
      <c r="T51" s="384"/>
      <c r="U51" s="384"/>
      <c r="V51" s="384"/>
      <c r="W51" s="384"/>
      <c r="X51" s="384"/>
      <c r="Y51" s="384"/>
      <c r="Z51" s="384"/>
      <c r="AA51" s="384"/>
      <c r="AB51" s="384"/>
      <c r="AC51" s="384"/>
      <c r="AD51" s="384"/>
      <c r="AE51" s="384"/>
      <c r="AF51" s="384"/>
      <c r="AG51" s="384"/>
      <c r="AH51" s="384"/>
      <c r="AI51" s="384"/>
      <c r="AJ51" s="384"/>
    </row>
    <row r="52" spans="1:131" ht="15.75" x14ac:dyDescent="0.25">
      <c r="A52" s="384"/>
      <c r="B52" s="403"/>
      <c r="C52" s="390"/>
      <c r="D52" s="390"/>
      <c r="E52" s="390"/>
      <c r="G52" s="392"/>
      <c r="H52" s="390"/>
      <c r="I52" s="390"/>
      <c r="J52" s="404"/>
      <c r="K52" s="384"/>
      <c r="L52" s="384"/>
      <c r="M52" s="384"/>
      <c r="N52" s="384"/>
      <c r="O52" s="384"/>
      <c r="P52" s="384"/>
      <c r="Q52" s="384"/>
      <c r="R52" s="384"/>
      <c r="S52" s="384"/>
      <c r="T52" s="384"/>
      <c r="U52" s="384"/>
      <c r="V52" s="384"/>
      <c r="W52" s="384"/>
      <c r="X52" s="384"/>
      <c r="Y52" s="384"/>
      <c r="Z52" s="384"/>
      <c r="AA52" s="384"/>
      <c r="AB52" s="384"/>
      <c r="AC52" s="384"/>
      <c r="AD52" s="384"/>
      <c r="AE52" s="384"/>
      <c r="AF52" s="384"/>
      <c r="AG52" s="384"/>
      <c r="AH52" s="384"/>
      <c r="AI52" s="384"/>
      <c r="AJ52" s="384"/>
    </row>
    <row r="53" spans="1:131" ht="15.75" x14ac:dyDescent="0.25">
      <c r="A53" s="384"/>
      <c r="B53" s="403"/>
      <c r="C53" s="390"/>
      <c r="D53" s="390"/>
      <c r="E53" s="390"/>
      <c r="G53" s="392"/>
      <c r="H53" s="390"/>
      <c r="I53" s="390"/>
      <c r="J53" s="404"/>
      <c r="K53" s="384"/>
      <c r="L53" s="384"/>
      <c r="M53" s="384"/>
      <c r="N53" s="384"/>
      <c r="O53" s="384"/>
      <c r="P53" s="384"/>
      <c r="Q53" s="384"/>
      <c r="R53" s="384"/>
      <c r="S53" s="384"/>
      <c r="T53" s="384"/>
      <c r="U53" s="384"/>
      <c r="V53" s="384"/>
      <c r="W53" s="384"/>
      <c r="X53" s="384"/>
      <c r="Y53" s="384"/>
      <c r="Z53" s="384"/>
      <c r="AA53" s="384"/>
      <c r="AB53" s="384"/>
      <c r="AC53" s="384"/>
      <c r="AD53" s="384"/>
      <c r="AE53" s="384"/>
      <c r="AF53" s="384"/>
      <c r="AG53" s="384"/>
      <c r="AH53" s="384"/>
      <c r="AI53" s="384"/>
      <c r="AJ53" s="384"/>
    </row>
    <row r="54" spans="1:131" ht="15.75" x14ac:dyDescent="0.25">
      <c r="A54" s="384"/>
      <c r="B54" s="405"/>
      <c r="C54" s="390"/>
      <c r="D54" s="390"/>
      <c r="E54" s="390"/>
      <c r="G54" s="390"/>
      <c r="H54" s="390"/>
      <c r="I54" s="390"/>
      <c r="J54" s="412"/>
      <c r="K54" s="384"/>
      <c r="L54" s="384"/>
      <c r="M54" s="384"/>
      <c r="N54" s="384"/>
      <c r="O54" s="384"/>
      <c r="P54" s="384"/>
      <c r="Q54" s="384"/>
      <c r="R54" s="384"/>
      <c r="S54" s="384"/>
      <c r="T54" s="384"/>
      <c r="U54" s="384"/>
      <c r="V54" s="384"/>
      <c r="W54" s="384"/>
      <c r="X54" s="384"/>
      <c r="Y54" s="384"/>
      <c r="Z54" s="384"/>
      <c r="AA54" s="384"/>
      <c r="AB54" s="384"/>
      <c r="AC54" s="384"/>
      <c r="AD54" s="384"/>
      <c r="AE54" s="384"/>
      <c r="AF54" s="384"/>
      <c r="AG54" s="384"/>
      <c r="AH54" s="384"/>
      <c r="AI54" s="384"/>
      <c r="AJ54" s="384"/>
    </row>
    <row r="55" spans="1:131" ht="16.5" thickBot="1" x14ac:dyDescent="0.3">
      <c r="A55" s="384"/>
      <c r="B55" s="413"/>
      <c r="C55" s="414"/>
      <c r="D55" s="414"/>
      <c r="E55" s="414"/>
      <c r="F55" s="415"/>
      <c r="G55" s="414"/>
      <c r="H55" s="416"/>
      <c r="I55" s="414"/>
      <c r="J55" s="417"/>
      <c r="K55" s="384"/>
      <c r="L55" s="384"/>
      <c r="M55" s="384"/>
      <c r="N55" s="384"/>
      <c r="O55" s="384"/>
      <c r="P55" s="384"/>
      <c r="Q55" s="384"/>
      <c r="R55" s="384"/>
      <c r="S55" s="384"/>
      <c r="T55" s="384"/>
      <c r="U55" s="384"/>
      <c r="V55" s="384"/>
      <c r="W55" s="384"/>
      <c r="X55" s="384"/>
      <c r="Y55" s="384"/>
      <c r="Z55" s="384"/>
      <c r="AA55" s="384"/>
      <c r="AB55" s="384"/>
      <c r="AC55" s="384"/>
      <c r="AD55" s="384"/>
      <c r="AE55" s="384"/>
      <c r="AF55" s="384"/>
      <c r="AG55" s="384"/>
      <c r="AH55" s="384"/>
      <c r="AI55" s="384"/>
      <c r="AJ55" s="384"/>
    </row>
    <row r="56" spans="1:131" ht="15.75" x14ac:dyDescent="0.25">
      <c r="A56" s="384"/>
      <c r="B56" s="384"/>
      <c r="C56" s="418"/>
      <c r="D56" s="418"/>
      <c r="E56" s="418"/>
      <c r="F56" s="384"/>
      <c r="G56" s="418"/>
      <c r="H56" s="418"/>
      <c r="I56" s="418"/>
      <c r="J56" s="418"/>
      <c r="K56" s="384"/>
      <c r="L56" s="384"/>
      <c r="M56" s="384"/>
      <c r="N56" s="384"/>
      <c r="O56" s="384"/>
      <c r="P56" s="384"/>
      <c r="Q56" s="384"/>
      <c r="R56" s="384"/>
      <c r="S56" s="384"/>
      <c r="T56" s="384"/>
      <c r="U56" s="384"/>
      <c r="V56" s="384"/>
      <c r="W56" s="384"/>
      <c r="X56" s="384"/>
      <c r="Y56" s="384"/>
      <c r="Z56" s="384"/>
      <c r="AA56" s="384"/>
      <c r="AB56" s="384"/>
      <c r="AC56" s="384"/>
      <c r="AD56" s="384"/>
      <c r="AE56" s="384"/>
      <c r="AF56" s="384"/>
      <c r="AG56" s="384"/>
      <c r="AH56" s="384"/>
      <c r="AI56" s="384"/>
      <c r="AJ56" s="384"/>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row>
    <row r="57" spans="1:131" customFormat="1" x14ac:dyDescent="0.25">
      <c r="A57" s="384"/>
      <c r="B57" s="384"/>
      <c r="C57" s="384"/>
      <c r="D57" s="384"/>
      <c r="E57" s="384"/>
      <c r="F57" s="384"/>
      <c r="G57" s="384"/>
      <c r="H57" s="384"/>
      <c r="I57" s="384"/>
      <c r="J57" s="384"/>
      <c r="K57" s="384"/>
      <c r="L57" s="384"/>
      <c r="M57" s="384"/>
      <c r="N57" s="384"/>
      <c r="O57" s="384"/>
      <c r="P57" s="384"/>
      <c r="Q57" s="384"/>
      <c r="R57" s="384"/>
      <c r="S57" s="384"/>
      <c r="T57" s="384"/>
      <c r="U57" s="384"/>
      <c r="V57" s="384"/>
      <c r="W57" s="384"/>
      <c r="X57" s="384"/>
      <c r="Y57" s="384"/>
      <c r="Z57" s="384"/>
      <c r="AA57" s="384"/>
      <c r="AB57" s="384"/>
      <c r="AC57" s="384"/>
      <c r="AD57" s="384"/>
      <c r="AE57" s="384"/>
      <c r="AF57" s="384"/>
      <c r="AG57" s="384"/>
      <c r="AH57" s="384"/>
      <c r="AI57" s="384"/>
      <c r="AJ57" s="384"/>
    </row>
    <row r="58" spans="1:131" ht="30" customHeight="1" x14ac:dyDescent="0.35">
      <c r="A58" s="384"/>
      <c r="B58" s="527"/>
      <c r="C58" s="528" t="s">
        <v>1017</v>
      </c>
      <c r="D58" s="529"/>
      <c r="E58" s="529"/>
      <c r="F58" s="529"/>
      <c r="G58" s="529"/>
      <c r="H58" s="529"/>
      <c r="I58" s="529"/>
      <c r="J58" s="529"/>
      <c r="K58" s="529"/>
      <c r="L58" s="529"/>
      <c r="M58" s="529"/>
      <c r="N58" s="529"/>
      <c r="O58" s="529"/>
      <c r="P58" s="529"/>
      <c r="Q58" s="529"/>
      <c r="R58" s="529"/>
      <c r="S58" s="529"/>
      <c r="T58" s="529"/>
      <c r="U58" s="529"/>
      <c r="V58" s="529"/>
      <c r="W58" s="529"/>
      <c r="X58" s="529"/>
      <c r="Y58" s="529"/>
      <c r="Z58" s="529"/>
      <c r="AA58" s="530"/>
      <c r="AB58" s="384"/>
      <c r="AC58" s="384"/>
      <c r="AD58" s="384"/>
      <c r="AE58" s="384"/>
      <c r="AF58" s="384"/>
      <c r="AG58" s="384"/>
      <c r="AH58" s="384"/>
      <c r="AI58" s="384"/>
      <c r="AJ58" s="384"/>
    </row>
    <row r="59" spans="1:131" ht="15.75" x14ac:dyDescent="0.25">
      <c r="A59" s="384"/>
      <c r="B59" s="531"/>
      <c r="C59" s="392"/>
      <c r="I59" s="390"/>
      <c r="J59" s="390"/>
      <c r="M59" s="390"/>
      <c r="N59" s="391" t="s">
        <v>960</v>
      </c>
      <c r="U59" s="390"/>
      <c r="Y59" s="390"/>
      <c r="Z59" s="390"/>
      <c r="AA59" s="532"/>
      <c r="AB59" s="384"/>
      <c r="AC59" s="384"/>
      <c r="AD59" s="384"/>
      <c r="AE59" s="384"/>
      <c r="AF59" s="384"/>
      <c r="AG59" s="384"/>
      <c r="AH59" s="384"/>
      <c r="AI59" s="384"/>
      <c r="AJ59" s="384"/>
    </row>
    <row r="60" spans="1:131" ht="15.75" x14ac:dyDescent="0.25">
      <c r="A60" s="384"/>
      <c r="B60" s="531"/>
      <c r="C60" s="391" t="s">
        <v>963</v>
      </c>
      <c r="F60" s="391" t="s">
        <v>931</v>
      </c>
      <c r="J60" s="390"/>
      <c r="M60" s="390"/>
      <c r="N60" s="543" t="s">
        <v>4</v>
      </c>
      <c r="O60" s="544"/>
      <c r="U60" s="533" t="s">
        <v>206</v>
      </c>
      <c r="Y60" s="392" t="s">
        <v>1018</v>
      </c>
      <c r="AA60" s="532"/>
      <c r="AB60" s="384"/>
      <c r="AC60" s="384"/>
      <c r="AD60" s="384"/>
      <c r="AE60" s="384"/>
      <c r="AF60" s="384"/>
      <c r="AG60" s="384"/>
      <c r="AH60" s="384"/>
      <c r="AI60" s="384"/>
      <c r="AJ60" s="384"/>
    </row>
    <row r="61" spans="1:131" ht="15.75" x14ac:dyDescent="0.25">
      <c r="A61" s="384"/>
      <c r="B61" s="531"/>
      <c r="C61" s="393" t="s">
        <v>1021</v>
      </c>
      <c r="F61" s="438"/>
      <c r="J61" s="390"/>
      <c r="M61" s="390"/>
      <c r="N61" s="393" t="s">
        <v>1131</v>
      </c>
      <c r="U61" s="437"/>
      <c r="Y61" s="392" t="s">
        <v>1057</v>
      </c>
      <c r="Z61" s="390"/>
      <c r="AA61" s="532"/>
      <c r="AB61" s="384"/>
      <c r="AC61" s="384"/>
      <c r="AD61" s="384"/>
      <c r="AE61" s="384"/>
      <c r="AF61" s="384"/>
      <c r="AG61" s="384"/>
      <c r="AH61" s="384"/>
      <c r="AI61" s="384"/>
      <c r="AJ61" s="384"/>
    </row>
    <row r="62" spans="1:131" ht="15.75" x14ac:dyDescent="0.25">
      <c r="A62" s="384"/>
      <c r="B62" s="534"/>
      <c r="C62" s="393" t="s">
        <v>1022</v>
      </c>
      <c r="F62" s="438"/>
      <c r="J62" s="393"/>
      <c r="M62" s="393"/>
      <c r="N62" s="393"/>
      <c r="U62" s="526"/>
      <c r="Y62" s="393" t="s">
        <v>243</v>
      </c>
      <c r="Z62" s="440">
        <v>89</v>
      </c>
      <c r="AA62" s="535"/>
      <c r="AB62" s="384"/>
      <c r="AC62" s="384"/>
      <c r="AD62" s="384"/>
      <c r="AE62" s="384"/>
      <c r="AF62" s="384"/>
      <c r="AG62" s="384"/>
      <c r="AH62" s="384"/>
      <c r="AI62" s="384"/>
      <c r="AJ62" s="384"/>
    </row>
    <row r="63" spans="1:131" ht="15.75" x14ac:dyDescent="0.25">
      <c r="A63" s="384"/>
      <c r="B63" s="534"/>
      <c r="C63" s="373"/>
      <c r="I63" s="373"/>
      <c r="J63" s="373"/>
      <c r="M63" s="373"/>
      <c r="N63" s="543" t="s">
        <v>961</v>
      </c>
      <c r="U63" s="533" t="s">
        <v>206</v>
      </c>
      <c r="Y63" s="393"/>
      <c r="Z63" s="393"/>
      <c r="AA63" s="535"/>
      <c r="AB63" s="384"/>
      <c r="AC63" s="384"/>
      <c r="AD63" s="384"/>
      <c r="AE63" s="384"/>
      <c r="AF63" s="384"/>
      <c r="AG63" s="384"/>
      <c r="AH63" s="384"/>
      <c r="AI63" s="384"/>
      <c r="AJ63" s="384"/>
    </row>
    <row r="64" spans="1:131" ht="15.75" x14ac:dyDescent="0.25">
      <c r="A64" s="384"/>
      <c r="B64" s="534"/>
      <c r="C64" s="373"/>
      <c r="I64" s="373"/>
      <c r="J64" s="373"/>
      <c r="M64" s="373"/>
      <c r="N64" s="393" t="s">
        <v>1132</v>
      </c>
      <c r="U64" s="438"/>
      <c r="Y64" s="391" t="s">
        <v>244</v>
      </c>
      <c r="Z64" s="393"/>
      <c r="AA64" s="535"/>
      <c r="AB64" s="384"/>
      <c r="AC64" s="384"/>
      <c r="AD64" s="384"/>
      <c r="AE64" s="384"/>
      <c r="AF64" s="384"/>
      <c r="AG64" s="384"/>
      <c r="AH64" s="384"/>
      <c r="AI64" s="384"/>
      <c r="AJ64" s="384"/>
    </row>
    <row r="65" spans="1:36" ht="15.75" x14ac:dyDescent="0.25">
      <c r="A65" s="384"/>
      <c r="B65" s="534"/>
      <c r="C65" s="373"/>
      <c r="I65" s="373"/>
      <c r="J65" s="373"/>
      <c r="M65" s="373"/>
      <c r="N65" s="393" t="s">
        <v>1133</v>
      </c>
      <c r="U65" s="438"/>
      <c r="Y65" s="393" t="s">
        <v>245</v>
      </c>
      <c r="Z65" s="437">
        <v>1.4890000000000001</v>
      </c>
      <c r="AA65" s="535"/>
      <c r="AB65" s="384"/>
      <c r="AC65" s="384"/>
      <c r="AD65" s="384"/>
      <c r="AE65" s="384"/>
      <c r="AF65" s="384"/>
      <c r="AG65" s="384"/>
      <c r="AH65" s="384"/>
      <c r="AI65" s="384"/>
      <c r="AJ65" s="384"/>
    </row>
    <row r="66" spans="1:36" ht="31.5" x14ac:dyDescent="0.25">
      <c r="A66" s="384"/>
      <c r="B66" s="534"/>
      <c r="C66" s="533" t="s">
        <v>1023</v>
      </c>
      <c r="I66" s="533"/>
      <c r="J66" s="533"/>
      <c r="M66" s="533"/>
      <c r="N66" s="393"/>
      <c r="U66" s="547"/>
      <c r="Y66" s="393"/>
      <c r="Z66" s="393"/>
      <c r="AA66" s="535"/>
      <c r="AB66" s="384"/>
      <c r="AC66" s="384"/>
      <c r="AD66" s="384"/>
      <c r="AE66" s="384"/>
      <c r="AF66" s="384"/>
      <c r="AG66" s="384"/>
      <c r="AH66" s="384"/>
      <c r="AI66" s="384"/>
      <c r="AJ66" s="384"/>
    </row>
    <row r="67" spans="1:36" ht="31.5" x14ac:dyDescent="0.25">
      <c r="A67" s="384"/>
      <c r="B67" s="537"/>
      <c r="C67" s="391" t="s">
        <v>1024</v>
      </c>
      <c r="I67" s="533" t="s">
        <v>207</v>
      </c>
      <c r="J67" s="533" t="s">
        <v>206</v>
      </c>
      <c r="M67" s="538"/>
      <c r="N67" s="391" t="s">
        <v>1020</v>
      </c>
      <c r="U67" s="533"/>
      <c r="Y67" s="391" t="s">
        <v>247</v>
      </c>
      <c r="Z67" s="393"/>
      <c r="AA67" s="535"/>
      <c r="AB67" s="384"/>
      <c r="AC67" s="384"/>
      <c r="AD67" s="384"/>
      <c r="AE67" s="384"/>
      <c r="AF67" s="384"/>
      <c r="AG67" s="384"/>
      <c r="AH67" s="384"/>
      <c r="AI67" s="384"/>
      <c r="AJ67" s="384"/>
    </row>
    <row r="68" spans="1:36" ht="15.95" customHeight="1" x14ac:dyDescent="0.25">
      <c r="A68" s="384"/>
      <c r="B68" s="534"/>
      <c r="C68" s="393" t="s">
        <v>277</v>
      </c>
      <c r="I68" s="450"/>
      <c r="J68" s="540"/>
      <c r="M68" s="538"/>
      <c r="N68" s="543" t="s">
        <v>4</v>
      </c>
      <c r="O68" s="544"/>
      <c r="U68" s="533" t="s">
        <v>206</v>
      </c>
      <c r="Y68" s="393" t="s">
        <v>248</v>
      </c>
      <c r="Z68" s="437">
        <v>30</v>
      </c>
      <c r="AA68" s="536"/>
      <c r="AB68" s="384"/>
      <c r="AC68" s="384"/>
      <c r="AD68" s="384"/>
      <c r="AE68" s="384"/>
      <c r="AF68" s="384"/>
      <c r="AG68" s="384"/>
      <c r="AH68" s="384"/>
      <c r="AI68" s="384"/>
      <c r="AJ68" s="384"/>
    </row>
    <row r="69" spans="1:36" ht="15.75" x14ac:dyDescent="0.25">
      <c r="A69" s="384"/>
      <c r="B69" s="534"/>
      <c r="C69" s="393" t="s">
        <v>259</v>
      </c>
      <c r="I69" s="450"/>
      <c r="J69" s="393" t="str">
        <f>IF($I$69&gt;($I$68*$J$68), "Error","Ok")</f>
        <v>Ok</v>
      </c>
      <c r="M69" s="393"/>
      <c r="N69" s="393" t="s">
        <v>1134</v>
      </c>
      <c r="U69" s="540"/>
      <c r="AA69" s="539"/>
      <c r="AB69" s="384"/>
      <c r="AC69" s="384"/>
      <c r="AD69" s="384"/>
      <c r="AE69" s="384"/>
      <c r="AF69" s="384"/>
      <c r="AG69" s="384"/>
      <c r="AH69" s="384"/>
      <c r="AI69" s="384"/>
      <c r="AJ69" s="384"/>
    </row>
    <row r="70" spans="1:36" ht="15.75" x14ac:dyDescent="0.25">
      <c r="A70" s="384"/>
      <c r="B70" s="534"/>
      <c r="C70" s="393" t="s">
        <v>275</v>
      </c>
      <c r="I70" s="438"/>
      <c r="J70" s="437"/>
      <c r="M70" s="393"/>
      <c r="N70" s="393"/>
      <c r="U70" s="548"/>
      <c r="Y70" s="391" t="s">
        <v>271</v>
      </c>
      <c r="Z70" s="393"/>
      <c r="AA70" s="536"/>
      <c r="AB70" s="384"/>
      <c r="AC70" s="384"/>
      <c r="AD70" s="384"/>
      <c r="AE70" s="384"/>
      <c r="AF70" s="384"/>
      <c r="AG70" s="384"/>
      <c r="AH70" s="384"/>
      <c r="AI70" s="384"/>
      <c r="AJ70" s="384"/>
    </row>
    <row r="71" spans="1:36" ht="15.75" x14ac:dyDescent="0.25">
      <c r="A71" s="384"/>
      <c r="B71" s="534"/>
      <c r="C71" s="390" t="s">
        <v>260</v>
      </c>
      <c r="I71" s="451"/>
      <c r="J71" s="390" t="str">
        <f>IF($I$71&gt;($I$70*$J$70), "Error","Ok")</f>
        <v>Ok</v>
      </c>
      <c r="M71" s="390"/>
      <c r="N71" s="543" t="s">
        <v>961</v>
      </c>
      <c r="U71" s="533" t="s">
        <v>206</v>
      </c>
      <c r="Y71" s="533" t="s">
        <v>272</v>
      </c>
      <c r="Z71" s="541">
        <v>0.32</v>
      </c>
      <c r="AA71" s="535"/>
      <c r="AB71" s="384"/>
      <c r="AC71" s="384"/>
      <c r="AD71" s="384"/>
      <c r="AE71" s="384"/>
      <c r="AF71" s="384"/>
      <c r="AG71" s="384"/>
      <c r="AH71" s="384"/>
      <c r="AI71" s="384"/>
      <c r="AJ71" s="384"/>
    </row>
    <row r="72" spans="1:36" ht="15.75" x14ac:dyDescent="0.25">
      <c r="A72" s="384"/>
      <c r="B72" s="534"/>
      <c r="C72" s="390" t="s">
        <v>276</v>
      </c>
      <c r="I72" s="451"/>
      <c r="J72" s="542"/>
      <c r="M72" s="390"/>
      <c r="N72" s="390" t="s">
        <v>1135</v>
      </c>
      <c r="U72" s="451"/>
      <c r="AA72" s="535"/>
      <c r="AB72" s="384"/>
      <c r="AC72" s="384"/>
      <c r="AD72" s="384"/>
      <c r="AE72" s="384"/>
      <c r="AF72" s="384"/>
      <c r="AG72" s="384"/>
      <c r="AH72" s="384"/>
      <c r="AI72" s="384"/>
      <c r="AJ72" s="384"/>
    </row>
    <row r="73" spans="1:36" ht="15.75" x14ac:dyDescent="0.25">
      <c r="A73" s="384"/>
      <c r="B73" s="534"/>
      <c r="C73" s="393" t="s">
        <v>1050</v>
      </c>
      <c r="I73" s="438"/>
      <c r="J73" s="393" t="str">
        <f>IF($I$73&gt;($I$72*$J$72), "Error","Ok")</f>
        <v>Ok</v>
      </c>
      <c r="M73" s="393"/>
      <c r="N73" s="390" t="s">
        <v>1136</v>
      </c>
      <c r="U73" s="438"/>
      <c r="Y73" s="393"/>
      <c r="Z73" s="393"/>
      <c r="AA73" s="535"/>
      <c r="AB73" s="384"/>
      <c r="AC73" s="384"/>
      <c r="AD73" s="384"/>
      <c r="AE73" s="384"/>
      <c r="AF73" s="384"/>
      <c r="AG73" s="384"/>
      <c r="AH73" s="384"/>
      <c r="AI73" s="384"/>
      <c r="AJ73" s="384"/>
    </row>
    <row r="74" spans="1:36" ht="15.75" x14ac:dyDescent="0.25">
      <c r="A74" s="384"/>
      <c r="B74" s="534"/>
      <c r="C74" s="393" t="s">
        <v>278</v>
      </c>
      <c r="I74" s="438"/>
      <c r="J74" s="393"/>
      <c r="M74" s="393"/>
      <c r="Y74" s="393"/>
      <c r="Z74" s="393"/>
      <c r="AA74" s="535"/>
      <c r="AB74" s="384"/>
      <c r="AC74" s="384"/>
      <c r="AD74" s="384"/>
      <c r="AE74" s="384"/>
      <c r="AF74" s="384"/>
      <c r="AG74" s="384"/>
      <c r="AH74" s="384"/>
      <c r="AI74" s="384"/>
      <c r="AJ74" s="384"/>
    </row>
    <row r="75" spans="1:36" ht="15.75" x14ac:dyDescent="0.25">
      <c r="A75" s="384"/>
      <c r="B75" s="534"/>
      <c r="C75" s="393" t="s">
        <v>1061</v>
      </c>
      <c r="I75" s="438"/>
      <c r="J75" s="393"/>
      <c r="M75" s="393"/>
      <c r="N75" s="545" t="s">
        <v>1025</v>
      </c>
      <c r="Y75" s="393"/>
      <c r="Z75" s="393"/>
      <c r="AA75" s="535"/>
      <c r="AB75" s="384"/>
      <c r="AC75" s="384"/>
      <c r="AD75" s="384"/>
      <c r="AE75" s="384"/>
      <c r="AF75" s="384"/>
      <c r="AG75" s="384"/>
      <c r="AH75" s="384"/>
      <c r="AI75" s="384"/>
      <c r="AJ75" s="384"/>
    </row>
    <row r="76" spans="1:36" ht="15.75" x14ac:dyDescent="0.25">
      <c r="A76" s="384"/>
      <c r="B76" s="534"/>
      <c r="C76" s="393" t="s">
        <v>854</v>
      </c>
      <c r="I76" s="438"/>
      <c r="J76" s="437"/>
      <c r="M76" s="393"/>
      <c r="N76" s="526" t="s">
        <v>1026</v>
      </c>
      <c r="U76" s="437"/>
      <c r="Y76" s="393"/>
      <c r="Z76" s="393"/>
      <c r="AA76" s="535"/>
      <c r="AB76" s="384"/>
      <c r="AC76" s="384"/>
      <c r="AD76" s="384"/>
      <c r="AE76" s="384"/>
      <c r="AF76" s="384"/>
      <c r="AG76" s="384"/>
      <c r="AH76" s="384"/>
      <c r="AI76" s="384"/>
      <c r="AJ76" s="384"/>
    </row>
    <row r="77" spans="1:36" ht="15.75" x14ac:dyDescent="0.25">
      <c r="A77" s="384"/>
      <c r="B77" s="531"/>
      <c r="Y77" s="393"/>
      <c r="Z77" s="393"/>
      <c r="AA77" s="535"/>
      <c r="AB77" s="384"/>
      <c r="AC77" s="384"/>
      <c r="AD77" s="384"/>
      <c r="AE77" s="384"/>
      <c r="AF77" s="384"/>
      <c r="AG77" s="384"/>
      <c r="AH77" s="384"/>
      <c r="AI77" s="384"/>
      <c r="AJ77" s="384"/>
    </row>
    <row r="78" spans="1:36" ht="15.75" x14ac:dyDescent="0.25">
      <c r="A78" s="384"/>
      <c r="B78" s="549"/>
      <c r="C78" s="550"/>
      <c r="D78" s="550"/>
      <c r="E78" s="550"/>
      <c r="F78" s="550"/>
      <c r="G78" s="550"/>
      <c r="H78" s="550"/>
      <c r="I78" s="550"/>
      <c r="J78" s="550"/>
      <c r="K78" s="550"/>
      <c r="L78" s="551"/>
      <c r="M78" s="551"/>
      <c r="N78" s="551"/>
      <c r="O78" s="550"/>
      <c r="P78" s="550"/>
      <c r="Q78" s="550"/>
      <c r="R78" s="550"/>
      <c r="S78" s="550"/>
      <c r="T78" s="550"/>
      <c r="U78" s="550"/>
      <c r="V78" s="550"/>
      <c r="W78" s="550"/>
      <c r="X78" s="550"/>
      <c r="Y78" s="552"/>
      <c r="Z78" s="552"/>
      <c r="AA78" s="553"/>
      <c r="AB78" s="384"/>
      <c r="AC78" s="384"/>
      <c r="AD78" s="384"/>
      <c r="AE78" s="384"/>
      <c r="AF78" s="384"/>
      <c r="AG78" s="384"/>
      <c r="AH78" s="384"/>
      <c r="AI78" s="384"/>
      <c r="AJ78" s="384"/>
    </row>
    <row r="79" spans="1:36" x14ac:dyDescent="0.25">
      <c r="A79" s="384"/>
      <c r="B79" s="384"/>
      <c r="C79" s="384"/>
      <c r="D79" s="384"/>
      <c r="E79" s="384"/>
      <c r="F79" s="384"/>
      <c r="G79" s="384"/>
      <c r="H79" s="384"/>
      <c r="I79" s="384"/>
      <c r="J79" s="384"/>
      <c r="K79" s="384"/>
      <c r="L79" s="384"/>
      <c r="M79" s="384"/>
      <c r="N79" s="384"/>
      <c r="O79" s="384"/>
      <c r="P79" s="384"/>
      <c r="Q79" s="384"/>
      <c r="R79" s="384"/>
      <c r="S79" s="384"/>
      <c r="T79" s="384"/>
      <c r="U79" s="384"/>
      <c r="V79" s="384"/>
      <c r="W79" s="384"/>
      <c r="X79" s="384"/>
      <c r="Y79" s="384"/>
      <c r="Z79" s="384"/>
      <c r="AA79" s="384"/>
      <c r="AB79" s="384"/>
      <c r="AC79" s="384"/>
      <c r="AD79" s="384"/>
      <c r="AE79" s="384"/>
      <c r="AF79" s="384"/>
      <c r="AG79" s="384"/>
      <c r="AH79" s="384"/>
      <c r="AI79" s="384"/>
      <c r="AJ79" s="384"/>
    </row>
    <row r="80" spans="1:36" x14ac:dyDescent="0.25">
      <c r="A80" s="384"/>
      <c r="B80" s="384"/>
      <c r="C80" s="384"/>
      <c r="D80" s="384"/>
      <c r="E80" s="384"/>
      <c r="F80" s="384"/>
      <c r="G80" s="384"/>
      <c r="H80" s="384"/>
      <c r="I80" s="384"/>
      <c r="J80" s="384"/>
      <c r="K80" s="384"/>
      <c r="L80" s="384"/>
      <c r="M80" s="384"/>
      <c r="N80" s="384"/>
      <c r="O80" s="384"/>
      <c r="P80" s="384"/>
      <c r="Q80" s="384"/>
      <c r="R80" s="384"/>
      <c r="S80" s="384"/>
      <c r="T80" s="384"/>
      <c r="U80" s="384"/>
      <c r="V80" s="384"/>
      <c r="W80" s="384"/>
      <c r="X80" s="384"/>
      <c r="Y80" s="384"/>
      <c r="Z80" s="384"/>
      <c r="AA80" s="384"/>
      <c r="AB80" s="384"/>
      <c r="AC80" s="384"/>
      <c r="AD80" s="384"/>
      <c r="AE80" s="384"/>
      <c r="AF80" s="384"/>
      <c r="AG80" s="384"/>
      <c r="AH80" s="384"/>
      <c r="AI80" s="384"/>
      <c r="AJ80" s="384"/>
    </row>
    <row r="81" spans="1:36" customFormat="1" x14ac:dyDescent="0.25">
      <c r="A81" s="384"/>
      <c r="B81" s="384"/>
      <c r="C81" s="384"/>
      <c r="D81" s="384"/>
      <c r="E81" s="384"/>
      <c r="F81" s="384"/>
      <c r="G81" s="384"/>
      <c r="H81" s="384"/>
      <c r="I81" s="384"/>
      <c r="J81" s="384"/>
      <c r="K81" s="384"/>
      <c r="L81" s="384"/>
      <c r="M81" s="384"/>
      <c r="N81" s="384"/>
      <c r="O81" s="384"/>
      <c r="P81" s="384"/>
      <c r="Q81" s="384"/>
      <c r="R81" s="384"/>
      <c r="S81" s="384"/>
      <c r="T81" s="384"/>
      <c r="U81" s="384"/>
      <c r="V81" s="384"/>
      <c r="W81" s="384"/>
      <c r="X81" s="384"/>
      <c r="Y81" s="384"/>
      <c r="Z81" s="384"/>
      <c r="AA81" s="384"/>
      <c r="AB81" s="384"/>
      <c r="AC81" s="384"/>
      <c r="AD81" s="384"/>
      <c r="AE81" s="384"/>
      <c r="AF81" s="384"/>
      <c r="AG81" s="384"/>
      <c r="AH81" s="384"/>
      <c r="AI81" s="384"/>
      <c r="AJ81" s="384"/>
    </row>
    <row r="82" spans="1:36" customFormat="1" x14ac:dyDescent="0.25">
      <c r="A82" s="384"/>
      <c r="B82" s="384"/>
      <c r="C82" s="384"/>
      <c r="D82" s="384"/>
      <c r="E82" s="384"/>
      <c r="F82" s="384"/>
      <c r="G82" s="384"/>
      <c r="H82" s="384"/>
      <c r="I82" s="384"/>
      <c r="J82" s="384"/>
      <c r="K82" s="384"/>
      <c r="L82" s="384"/>
      <c r="M82" s="384"/>
      <c r="N82" s="384"/>
      <c r="O82" s="384"/>
      <c r="P82" s="384"/>
      <c r="Q82" s="384"/>
      <c r="R82" s="384"/>
      <c r="S82" s="384"/>
      <c r="T82" s="384"/>
      <c r="U82" s="384"/>
      <c r="V82" s="384"/>
      <c r="W82" s="384"/>
      <c r="X82" s="384"/>
      <c r="Y82" s="384"/>
      <c r="Z82" s="384"/>
      <c r="AA82" s="384"/>
      <c r="AB82" s="384"/>
      <c r="AC82" s="384"/>
      <c r="AD82" s="384"/>
      <c r="AE82" s="384"/>
      <c r="AF82" s="384"/>
      <c r="AG82" s="384"/>
      <c r="AH82" s="384"/>
      <c r="AI82" s="384"/>
      <c r="AJ82" s="384"/>
    </row>
    <row r="83" spans="1:36" customFormat="1" x14ac:dyDescent="0.25">
      <c r="A83" s="384"/>
      <c r="B83" s="384"/>
      <c r="C83" s="384"/>
      <c r="D83" s="384"/>
      <c r="E83" s="384"/>
      <c r="F83" s="384"/>
      <c r="G83" s="384"/>
      <c r="H83" s="384"/>
      <c r="I83" s="384"/>
      <c r="J83" s="384"/>
      <c r="K83" s="384"/>
      <c r="L83" s="384"/>
      <c r="M83" s="384"/>
      <c r="N83" s="384"/>
      <c r="O83" s="384"/>
      <c r="P83" s="384"/>
      <c r="Q83" s="384"/>
      <c r="R83" s="384"/>
      <c r="S83" s="384"/>
      <c r="T83" s="384"/>
      <c r="U83" s="384"/>
      <c r="V83" s="384"/>
      <c r="W83" s="384"/>
      <c r="X83" s="384"/>
      <c r="Y83" s="384"/>
      <c r="Z83" s="384"/>
      <c r="AA83" s="384"/>
      <c r="AB83" s="384"/>
      <c r="AC83" s="384"/>
      <c r="AD83" s="384"/>
      <c r="AE83" s="384"/>
      <c r="AF83" s="384"/>
      <c r="AG83" s="384"/>
      <c r="AH83" s="384"/>
      <c r="AI83" s="384"/>
      <c r="AJ83" s="384"/>
    </row>
    <row r="84" spans="1:36" customFormat="1" x14ac:dyDescent="0.25">
      <c r="A84" s="384"/>
      <c r="B84" s="384"/>
      <c r="C84" s="384"/>
      <c r="D84" s="384"/>
      <c r="E84" s="384"/>
      <c r="F84" s="384"/>
      <c r="G84" s="384"/>
      <c r="H84" s="384"/>
      <c r="I84" s="384"/>
      <c r="J84" s="384"/>
      <c r="K84" s="384"/>
      <c r="L84" s="384"/>
      <c r="M84" s="384"/>
      <c r="N84" s="384"/>
      <c r="O84" s="384"/>
      <c r="P84" s="384"/>
      <c r="Q84" s="384"/>
      <c r="R84" s="384"/>
      <c r="S84" s="384"/>
      <c r="T84" s="384"/>
      <c r="U84" s="384"/>
      <c r="V84" s="384"/>
      <c r="W84" s="384"/>
      <c r="X84" s="384"/>
      <c r="Y84" s="384"/>
      <c r="Z84" s="384"/>
      <c r="AA84" s="384"/>
      <c r="AB84" s="384"/>
      <c r="AC84" s="384"/>
      <c r="AD84" s="384"/>
      <c r="AE84" s="384"/>
      <c r="AF84" s="384"/>
      <c r="AG84" s="384"/>
      <c r="AH84" s="384"/>
      <c r="AI84" s="384"/>
      <c r="AJ84" s="384"/>
    </row>
    <row r="85" spans="1:36" customFormat="1" x14ac:dyDescent="0.25">
      <c r="A85" s="384"/>
      <c r="B85" s="384"/>
      <c r="C85" s="384"/>
      <c r="D85" s="384"/>
      <c r="E85" s="384"/>
      <c r="F85" s="384"/>
      <c r="G85" s="384"/>
      <c r="H85" s="384"/>
      <c r="I85" s="384"/>
      <c r="J85" s="384"/>
      <c r="K85" s="384"/>
      <c r="L85" s="384"/>
      <c r="M85" s="384"/>
      <c r="N85" s="384"/>
      <c r="O85" s="384"/>
      <c r="P85" s="384"/>
      <c r="Q85" s="384"/>
      <c r="R85" s="384"/>
      <c r="S85" s="384"/>
      <c r="T85" s="384"/>
      <c r="U85" s="384"/>
      <c r="V85" s="384"/>
      <c r="W85" s="384"/>
      <c r="X85" s="384"/>
      <c r="Y85" s="384"/>
      <c r="Z85" s="384"/>
      <c r="AA85" s="384"/>
      <c r="AB85" s="384"/>
      <c r="AC85" s="384"/>
      <c r="AD85" s="384"/>
      <c r="AE85" s="384"/>
      <c r="AF85" s="384"/>
      <c r="AG85" s="384"/>
      <c r="AH85" s="384"/>
      <c r="AI85" s="384"/>
      <c r="AJ85" s="384"/>
    </row>
    <row r="86" spans="1:36" customFormat="1" x14ac:dyDescent="0.25">
      <c r="A86" s="384"/>
      <c r="B86" s="384"/>
      <c r="C86" s="384"/>
      <c r="D86" s="384"/>
      <c r="E86" s="384"/>
      <c r="F86" s="384"/>
      <c r="G86" s="384"/>
      <c r="H86" s="384"/>
      <c r="I86" s="384"/>
      <c r="J86" s="384"/>
      <c r="K86" s="384"/>
      <c r="L86" s="384"/>
      <c r="M86" s="384"/>
      <c r="N86" s="384"/>
      <c r="O86" s="384"/>
      <c r="P86" s="384"/>
      <c r="Q86" s="384"/>
      <c r="R86" s="384"/>
      <c r="S86" s="384"/>
      <c r="T86" s="384"/>
      <c r="U86" s="384"/>
      <c r="V86" s="384"/>
      <c r="W86" s="384"/>
      <c r="X86" s="384"/>
      <c r="Y86" s="384"/>
      <c r="Z86" s="384"/>
      <c r="AA86" s="384"/>
      <c r="AB86" s="384"/>
      <c r="AC86" s="384"/>
      <c r="AD86" s="384"/>
      <c r="AE86" s="384"/>
      <c r="AF86" s="384"/>
      <c r="AG86" s="384"/>
      <c r="AH86" s="384"/>
      <c r="AI86" s="384"/>
      <c r="AJ86" s="384"/>
    </row>
    <row r="87" spans="1:36" customFormat="1" x14ac:dyDescent="0.25">
      <c r="A87" s="384"/>
      <c r="B87" s="384"/>
      <c r="C87" s="384"/>
      <c r="D87" s="384"/>
      <c r="E87" s="384"/>
      <c r="F87" s="384"/>
      <c r="G87" s="384"/>
      <c r="H87" s="384"/>
      <c r="I87" s="384"/>
      <c r="J87" s="384"/>
      <c r="K87" s="384"/>
      <c r="L87" s="384"/>
      <c r="M87" s="384"/>
      <c r="N87" s="384"/>
      <c r="O87" s="384"/>
      <c r="P87" s="384"/>
      <c r="Q87" s="384"/>
      <c r="R87" s="384"/>
      <c r="S87" s="384"/>
      <c r="T87" s="384"/>
      <c r="U87" s="384"/>
      <c r="V87" s="384"/>
      <c r="W87" s="384"/>
      <c r="X87" s="384"/>
      <c r="Y87" s="384"/>
      <c r="Z87" s="384"/>
      <c r="AA87" s="384"/>
      <c r="AB87" s="384"/>
      <c r="AC87" s="384"/>
      <c r="AD87" s="384"/>
      <c r="AE87" s="384"/>
      <c r="AF87" s="384"/>
      <c r="AG87" s="384"/>
      <c r="AH87" s="384"/>
      <c r="AI87" s="384"/>
      <c r="AJ87" s="384"/>
    </row>
    <row r="88" spans="1:36" customFormat="1" x14ac:dyDescent="0.25">
      <c r="A88" s="384"/>
      <c r="B88" s="384"/>
      <c r="C88" s="384"/>
      <c r="D88" s="384"/>
      <c r="E88" s="384"/>
      <c r="F88" s="384"/>
      <c r="G88" s="384"/>
      <c r="H88" s="384"/>
      <c r="I88" s="384"/>
      <c r="J88" s="384"/>
      <c r="K88" s="384"/>
      <c r="L88" s="384"/>
      <c r="M88" s="384"/>
      <c r="N88" s="384"/>
      <c r="O88" s="384"/>
      <c r="P88" s="384"/>
      <c r="Q88" s="384"/>
      <c r="R88" s="384"/>
      <c r="S88" s="384"/>
      <c r="T88" s="384"/>
      <c r="U88" s="384"/>
      <c r="V88" s="384"/>
      <c r="W88" s="384"/>
      <c r="X88" s="384"/>
      <c r="Y88" s="384"/>
      <c r="Z88" s="384"/>
      <c r="AA88" s="384"/>
      <c r="AB88" s="384"/>
      <c r="AC88" s="384"/>
      <c r="AD88" s="384"/>
      <c r="AE88" s="384"/>
      <c r="AF88" s="384"/>
      <c r="AG88" s="384"/>
      <c r="AH88" s="384"/>
      <c r="AI88" s="384"/>
      <c r="AJ88" s="384"/>
    </row>
    <row r="89" spans="1:36" customFormat="1" x14ac:dyDescent="0.25">
      <c r="A89" s="384"/>
      <c r="B89" s="384"/>
      <c r="C89" s="384"/>
      <c r="D89" s="384"/>
      <c r="E89" s="384"/>
      <c r="F89" s="384"/>
      <c r="G89" s="384"/>
      <c r="H89" s="384"/>
      <c r="I89" s="384"/>
      <c r="J89" s="384"/>
      <c r="K89" s="384"/>
      <c r="L89" s="384"/>
      <c r="M89" s="384"/>
      <c r="N89" s="384"/>
      <c r="O89" s="384"/>
      <c r="P89" s="384"/>
      <c r="Q89" s="384"/>
      <c r="R89" s="384"/>
      <c r="S89" s="384"/>
      <c r="T89" s="384"/>
      <c r="U89" s="384"/>
      <c r="V89" s="384"/>
      <c r="W89" s="384"/>
      <c r="X89" s="384"/>
      <c r="Y89" s="384"/>
      <c r="Z89" s="384"/>
      <c r="AA89" s="384"/>
      <c r="AB89" s="384"/>
      <c r="AC89" s="384"/>
      <c r="AD89" s="384"/>
      <c r="AE89" s="384"/>
      <c r="AF89" s="384"/>
      <c r="AG89" s="384"/>
      <c r="AH89" s="384"/>
      <c r="AI89" s="384"/>
      <c r="AJ89" s="384"/>
    </row>
    <row r="90" spans="1:36" customFormat="1" x14ac:dyDescent="0.25">
      <c r="A90" s="384"/>
      <c r="B90" s="384"/>
      <c r="C90" s="384"/>
      <c r="D90" s="384"/>
      <c r="E90" s="384"/>
      <c r="F90" s="384"/>
      <c r="G90" s="384"/>
      <c r="H90" s="384"/>
      <c r="I90" s="384"/>
      <c r="J90" s="384"/>
      <c r="K90" s="384"/>
      <c r="L90" s="384"/>
      <c r="M90" s="384"/>
      <c r="N90" s="384"/>
      <c r="O90" s="384"/>
      <c r="P90" s="384"/>
      <c r="Q90" s="384"/>
      <c r="R90" s="384"/>
      <c r="S90" s="384"/>
      <c r="T90" s="384"/>
      <c r="U90" s="384"/>
      <c r="V90" s="384"/>
      <c r="W90" s="384"/>
      <c r="X90" s="384"/>
      <c r="Y90" s="384"/>
      <c r="Z90" s="384"/>
      <c r="AA90" s="384"/>
      <c r="AB90" s="384"/>
      <c r="AC90" s="384"/>
      <c r="AD90" s="384"/>
      <c r="AE90" s="384"/>
      <c r="AF90" s="384"/>
      <c r="AG90" s="384"/>
      <c r="AH90" s="384"/>
      <c r="AI90" s="384"/>
      <c r="AJ90" s="384"/>
    </row>
    <row r="91" spans="1:36" customFormat="1" x14ac:dyDescent="0.25">
      <c r="A91" s="384"/>
      <c r="B91" s="384"/>
      <c r="C91" s="384"/>
      <c r="D91" s="384"/>
      <c r="E91" s="384"/>
      <c r="F91" s="384"/>
      <c r="G91" s="384"/>
      <c r="H91" s="384"/>
      <c r="I91" s="384"/>
      <c r="J91" s="384"/>
      <c r="K91" s="384"/>
      <c r="L91" s="384"/>
      <c r="M91" s="384"/>
      <c r="N91" s="384"/>
      <c r="O91" s="384"/>
      <c r="P91" s="384"/>
      <c r="Q91" s="384"/>
      <c r="R91" s="384"/>
      <c r="S91" s="384"/>
      <c r="T91" s="384"/>
      <c r="U91" s="384"/>
      <c r="V91" s="384"/>
      <c r="W91" s="384"/>
      <c r="X91" s="384"/>
      <c r="Y91" s="384"/>
      <c r="Z91" s="384"/>
      <c r="AA91" s="384"/>
      <c r="AB91" s="384"/>
      <c r="AC91" s="384"/>
      <c r="AD91" s="384"/>
      <c r="AE91" s="384"/>
      <c r="AF91" s="384"/>
      <c r="AG91" s="384"/>
      <c r="AH91" s="384"/>
      <c r="AI91" s="384"/>
      <c r="AJ91" s="384"/>
    </row>
    <row r="92" spans="1:36" customFormat="1" x14ac:dyDescent="0.25">
      <c r="A92" s="384"/>
      <c r="B92" s="384"/>
      <c r="C92" s="384"/>
      <c r="D92" s="384"/>
      <c r="E92" s="384"/>
      <c r="F92" s="384"/>
      <c r="G92" s="384"/>
      <c r="H92" s="384"/>
      <c r="I92" s="384"/>
      <c r="J92" s="384"/>
      <c r="K92" s="384"/>
      <c r="L92" s="384"/>
      <c r="M92" s="384"/>
      <c r="N92" s="384"/>
      <c r="O92" s="384"/>
      <c r="P92" s="384"/>
      <c r="Q92" s="384"/>
      <c r="R92" s="384"/>
      <c r="S92" s="384"/>
      <c r="T92" s="384"/>
      <c r="U92" s="384"/>
      <c r="V92" s="384"/>
      <c r="W92" s="384"/>
      <c r="X92" s="384"/>
      <c r="Y92" s="384"/>
      <c r="Z92" s="384"/>
      <c r="AA92" s="384"/>
      <c r="AB92" s="384"/>
      <c r="AC92" s="384"/>
      <c r="AD92" s="384"/>
      <c r="AE92" s="384"/>
      <c r="AF92" s="384"/>
      <c r="AG92" s="384"/>
      <c r="AH92" s="384"/>
      <c r="AI92" s="384"/>
      <c r="AJ92" s="384"/>
    </row>
    <row r="93" spans="1:36" customFormat="1" x14ac:dyDescent="0.25">
      <c r="A93" s="384"/>
      <c r="B93" s="384"/>
      <c r="C93" s="384"/>
      <c r="D93" s="384"/>
      <c r="E93" s="384"/>
      <c r="F93" s="384"/>
      <c r="G93" s="384"/>
      <c r="H93" s="384"/>
      <c r="I93" s="384"/>
      <c r="J93" s="384"/>
      <c r="K93" s="384"/>
      <c r="L93" s="384"/>
      <c r="M93" s="384"/>
      <c r="N93" s="384"/>
      <c r="O93" s="384"/>
      <c r="P93" s="384"/>
      <c r="Q93" s="384"/>
      <c r="R93" s="384"/>
      <c r="S93" s="384"/>
      <c r="T93" s="384"/>
      <c r="U93" s="384"/>
      <c r="V93" s="384"/>
      <c r="W93" s="384"/>
      <c r="X93" s="384"/>
      <c r="Y93" s="384"/>
      <c r="Z93" s="384"/>
      <c r="AA93" s="384"/>
      <c r="AB93" s="384"/>
      <c r="AC93" s="384"/>
      <c r="AD93" s="384"/>
      <c r="AE93" s="384"/>
      <c r="AF93" s="384"/>
      <c r="AG93" s="384"/>
      <c r="AH93" s="384"/>
      <c r="AI93" s="384"/>
      <c r="AJ93" s="384"/>
    </row>
    <row r="94" spans="1:36" customFormat="1" x14ac:dyDescent="0.25">
      <c r="A94" s="384"/>
      <c r="B94" s="384"/>
      <c r="C94" s="384"/>
      <c r="D94" s="384"/>
      <c r="E94" s="384"/>
      <c r="F94" s="384"/>
      <c r="G94" s="384"/>
      <c r="H94" s="384"/>
      <c r="I94" s="384"/>
      <c r="J94" s="384"/>
      <c r="K94" s="384"/>
      <c r="L94" s="384"/>
      <c r="M94" s="384"/>
      <c r="N94" s="384"/>
      <c r="O94" s="384"/>
      <c r="P94" s="384"/>
      <c r="Q94" s="384"/>
      <c r="R94" s="384"/>
      <c r="S94" s="384"/>
      <c r="T94" s="384"/>
      <c r="U94" s="384"/>
      <c r="V94" s="384"/>
      <c r="W94" s="384"/>
      <c r="X94" s="384"/>
      <c r="Y94" s="384"/>
      <c r="Z94" s="384"/>
      <c r="AA94" s="384"/>
      <c r="AB94" s="384"/>
      <c r="AC94" s="384"/>
      <c r="AD94" s="384"/>
      <c r="AE94" s="384"/>
      <c r="AF94" s="384"/>
      <c r="AG94" s="384"/>
      <c r="AH94" s="384"/>
      <c r="AI94" s="384"/>
      <c r="AJ94" s="384"/>
    </row>
    <row r="95" spans="1:36" customFormat="1" x14ac:dyDescent="0.25">
      <c r="A95" s="384"/>
      <c r="B95" s="384"/>
      <c r="C95" s="384"/>
      <c r="D95" s="384"/>
      <c r="E95" s="384"/>
      <c r="F95" s="384"/>
      <c r="G95" s="384"/>
      <c r="H95" s="384"/>
      <c r="I95" s="384"/>
      <c r="J95" s="384"/>
      <c r="K95" s="384"/>
      <c r="L95" s="384"/>
      <c r="M95" s="384"/>
      <c r="N95" s="384"/>
      <c r="O95" s="384"/>
      <c r="P95" s="384"/>
      <c r="Q95" s="384"/>
      <c r="R95" s="384"/>
      <c r="S95" s="384"/>
      <c r="T95" s="384"/>
      <c r="U95" s="384"/>
      <c r="V95" s="384"/>
      <c r="W95" s="384"/>
      <c r="X95" s="384"/>
      <c r="Y95" s="384"/>
      <c r="Z95" s="384"/>
      <c r="AA95" s="384"/>
      <c r="AB95" s="384"/>
      <c r="AC95" s="384"/>
      <c r="AD95" s="384"/>
      <c r="AE95" s="384"/>
      <c r="AF95" s="384"/>
      <c r="AG95" s="384"/>
      <c r="AH95" s="384"/>
      <c r="AI95" s="384"/>
      <c r="AJ95" s="384"/>
    </row>
    <row r="96" spans="1:36" customFormat="1" x14ac:dyDescent="0.25">
      <c r="A96" s="384"/>
      <c r="B96" s="384"/>
      <c r="C96" s="384"/>
      <c r="D96" s="384"/>
      <c r="E96" s="384"/>
      <c r="F96" s="384"/>
      <c r="G96" s="384"/>
      <c r="H96" s="384"/>
      <c r="I96" s="384"/>
      <c r="J96" s="384"/>
      <c r="K96" s="384"/>
      <c r="L96" s="384"/>
      <c r="M96" s="384"/>
      <c r="N96" s="384"/>
      <c r="O96" s="384"/>
      <c r="P96" s="384"/>
      <c r="Q96" s="384"/>
      <c r="R96" s="384"/>
      <c r="S96" s="384"/>
      <c r="T96" s="384"/>
      <c r="U96" s="384"/>
      <c r="V96" s="384"/>
      <c r="W96" s="384"/>
      <c r="X96" s="384"/>
      <c r="Y96" s="384"/>
      <c r="Z96" s="384"/>
      <c r="AA96" s="384"/>
      <c r="AB96" s="384"/>
      <c r="AC96" s="384"/>
      <c r="AD96" s="384"/>
      <c r="AE96" s="384"/>
      <c r="AF96" s="384"/>
      <c r="AG96" s="384"/>
      <c r="AH96" s="384"/>
      <c r="AI96" s="384"/>
      <c r="AJ96" s="384"/>
    </row>
    <row r="97" spans="1:36" customFormat="1" x14ac:dyDescent="0.25">
      <c r="A97" s="384"/>
      <c r="B97" s="384"/>
      <c r="C97" s="384"/>
      <c r="D97" s="384"/>
      <c r="E97" s="384"/>
      <c r="F97" s="384"/>
      <c r="G97" s="384"/>
      <c r="H97" s="384"/>
      <c r="I97" s="384"/>
      <c r="J97" s="384"/>
      <c r="K97" s="384"/>
      <c r="L97" s="384"/>
      <c r="M97" s="384"/>
      <c r="N97" s="384"/>
      <c r="O97" s="384"/>
      <c r="P97" s="384"/>
      <c r="Q97" s="384"/>
      <c r="R97" s="384"/>
      <c r="S97" s="384"/>
      <c r="T97" s="384"/>
      <c r="U97" s="384"/>
      <c r="V97" s="384"/>
      <c r="W97" s="384"/>
      <c r="X97" s="384"/>
      <c r="Y97" s="384"/>
      <c r="Z97" s="384"/>
      <c r="AA97" s="384"/>
      <c r="AB97" s="384"/>
      <c r="AC97" s="384"/>
      <c r="AD97" s="384"/>
      <c r="AE97" s="384"/>
      <c r="AF97" s="384"/>
      <c r="AG97" s="384"/>
      <c r="AH97" s="384"/>
      <c r="AI97" s="384"/>
      <c r="AJ97" s="384"/>
    </row>
    <row r="98" spans="1:36" customFormat="1" x14ac:dyDescent="0.25">
      <c r="A98" s="384"/>
      <c r="B98" s="384"/>
      <c r="C98" s="384"/>
      <c r="D98" s="384"/>
      <c r="E98" s="384"/>
      <c r="F98" s="384"/>
      <c r="G98" s="384"/>
      <c r="H98" s="384"/>
      <c r="I98" s="384"/>
      <c r="J98" s="384"/>
      <c r="K98" s="384"/>
      <c r="L98" s="384"/>
      <c r="M98" s="384"/>
      <c r="N98" s="384"/>
      <c r="O98" s="384"/>
      <c r="P98" s="384"/>
      <c r="Q98" s="384"/>
      <c r="R98" s="384"/>
      <c r="S98" s="384"/>
      <c r="T98" s="384"/>
      <c r="U98" s="384"/>
      <c r="V98" s="384"/>
      <c r="W98" s="384"/>
      <c r="X98" s="384"/>
      <c r="Y98" s="384"/>
      <c r="Z98" s="384"/>
      <c r="AA98" s="384"/>
      <c r="AB98" s="384"/>
      <c r="AC98" s="384"/>
      <c r="AD98" s="384"/>
      <c r="AE98" s="384"/>
      <c r="AF98" s="384"/>
      <c r="AG98" s="384"/>
      <c r="AH98" s="384"/>
      <c r="AI98" s="384"/>
      <c r="AJ98" s="384"/>
    </row>
    <row r="99" spans="1:36" customFormat="1" x14ac:dyDescent="0.25">
      <c r="A99" s="384"/>
      <c r="B99" s="384"/>
      <c r="C99" s="384"/>
      <c r="D99" s="384"/>
      <c r="E99" s="384"/>
      <c r="F99" s="384"/>
      <c r="G99" s="384"/>
      <c r="H99" s="384"/>
      <c r="I99" s="384"/>
      <c r="J99" s="384"/>
      <c r="K99" s="384"/>
      <c r="L99" s="384"/>
      <c r="M99" s="384"/>
      <c r="N99" s="384"/>
      <c r="O99" s="384"/>
      <c r="P99" s="384"/>
      <c r="Q99" s="384"/>
      <c r="R99" s="384"/>
      <c r="S99" s="384"/>
      <c r="T99" s="384"/>
      <c r="U99" s="384"/>
      <c r="V99" s="384"/>
      <c r="W99" s="384"/>
      <c r="X99" s="384"/>
      <c r="Y99" s="384"/>
      <c r="Z99" s="384"/>
      <c r="AA99" s="384"/>
      <c r="AB99" s="384"/>
      <c r="AC99" s="384"/>
      <c r="AD99" s="384"/>
      <c r="AE99" s="384"/>
      <c r="AF99" s="384"/>
      <c r="AG99" s="384"/>
      <c r="AH99" s="384"/>
      <c r="AI99" s="384"/>
      <c r="AJ99" s="384"/>
    </row>
    <row r="100" spans="1:36" customFormat="1" x14ac:dyDescent="0.25">
      <c r="A100" s="384"/>
      <c r="B100" s="384"/>
      <c r="C100" s="384"/>
      <c r="D100" s="384"/>
      <c r="E100" s="384"/>
      <c r="F100" s="384"/>
      <c r="G100" s="384"/>
      <c r="H100" s="384"/>
      <c r="I100" s="384"/>
      <c r="J100" s="384"/>
      <c r="K100" s="384"/>
      <c r="L100" s="384"/>
      <c r="M100" s="384"/>
      <c r="N100" s="384"/>
      <c r="O100" s="384"/>
      <c r="P100" s="384"/>
      <c r="Q100" s="384"/>
      <c r="R100" s="384"/>
      <c r="S100" s="384"/>
      <c r="T100" s="384"/>
      <c r="U100" s="384"/>
      <c r="V100" s="384"/>
      <c r="W100" s="384"/>
      <c r="X100" s="384"/>
      <c r="Y100" s="384"/>
      <c r="Z100" s="384"/>
      <c r="AA100" s="384"/>
      <c r="AB100" s="384"/>
      <c r="AC100" s="384"/>
      <c r="AD100" s="384"/>
      <c r="AE100" s="384"/>
      <c r="AF100" s="384"/>
      <c r="AG100" s="384"/>
      <c r="AH100" s="384"/>
      <c r="AI100" s="384"/>
      <c r="AJ100" s="384"/>
    </row>
    <row r="101" spans="1:36" customFormat="1" x14ac:dyDescent="0.25">
      <c r="A101" s="384"/>
      <c r="B101" s="384"/>
      <c r="C101" s="384"/>
      <c r="D101" s="384"/>
      <c r="E101" s="384"/>
      <c r="F101" s="384"/>
      <c r="G101" s="384"/>
      <c r="H101" s="384"/>
      <c r="I101" s="384"/>
      <c r="J101" s="384"/>
      <c r="K101" s="384"/>
      <c r="L101" s="384"/>
      <c r="M101" s="384"/>
      <c r="N101" s="384"/>
      <c r="O101" s="384"/>
      <c r="P101" s="384"/>
      <c r="Q101" s="384"/>
      <c r="R101" s="384"/>
      <c r="S101" s="384"/>
      <c r="T101" s="384"/>
      <c r="U101" s="384"/>
      <c r="V101" s="384"/>
      <c r="W101" s="384"/>
      <c r="X101" s="384"/>
      <c r="Y101" s="384"/>
      <c r="Z101" s="384"/>
      <c r="AA101" s="384"/>
      <c r="AB101" s="384"/>
      <c r="AC101" s="384"/>
      <c r="AD101" s="384"/>
      <c r="AE101" s="384"/>
      <c r="AF101" s="384"/>
      <c r="AG101" s="384"/>
      <c r="AH101" s="384"/>
      <c r="AI101" s="384"/>
      <c r="AJ101" s="384"/>
    </row>
    <row r="102" spans="1:36" customFormat="1" x14ac:dyDescent="0.25">
      <c r="A102" s="384"/>
      <c r="B102" s="384"/>
      <c r="C102" s="384"/>
      <c r="D102" s="384"/>
      <c r="E102" s="384"/>
      <c r="F102" s="384"/>
      <c r="G102" s="384"/>
      <c r="H102" s="384"/>
      <c r="I102" s="384"/>
      <c r="J102" s="384"/>
      <c r="K102" s="384"/>
      <c r="L102" s="384"/>
      <c r="M102" s="384"/>
      <c r="N102" s="384"/>
      <c r="O102" s="384"/>
      <c r="P102" s="384"/>
      <c r="Q102" s="384"/>
      <c r="R102" s="384"/>
      <c r="S102" s="384"/>
      <c r="T102" s="384"/>
      <c r="U102" s="384"/>
      <c r="V102" s="384"/>
      <c r="W102" s="384"/>
      <c r="X102" s="384"/>
      <c r="Y102" s="384"/>
      <c r="Z102" s="384"/>
      <c r="AA102" s="384"/>
      <c r="AB102" s="384"/>
      <c r="AC102" s="384"/>
      <c r="AD102" s="384"/>
      <c r="AE102" s="384"/>
      <c r="AF102" s="384"/>
      <c r="AG102" s="384"/>
      <c r="AH102" s="384"/>
      <c r="AI102" s="384"/>
      <c r="AJ102" s="384"/>
    </row>
    <row r="103" spans="1:36" customFormat="1" x14ac:dyDescent="0.25">
      <c r="A103" s="384"/>
      <c r="B103" s="384"/>
      <c r="C103" s="384"/>
      <c r="D103" s="384"/>
      <c r="E103" s="384"/>
      <c r="F103" s="384"/>
      <c r="G103" s="384"/>
      <c r="H103" s="384"/>
      <c r="I103" s="384"/>
      <c r="J103" s="384"/>
      <c r="K103" s="384"/>
      <c r="L103" s="384"/>
      <c r="M103" s="384"/>
      <c r="N103" s="384"/>
      <c r="O103" s="384"/>
      <c r="P103" s="384"/>
      <c r="Q103" s="384"/>
      <c r="R103" s="384"/>
      <c r="S103" s="384"/>
      <c r="T103" s="384"/>
      <c r="U103" s="384"/>
      <c r="V103" s="384"/>
      <c r="W103" s="384"/>
      <c r="X103" s="384"/>
      <c r="Y103" s="384"/>
      <c r="Z103" s="384"/>
      <c r="AA103" s="384"/>
      <c r="AB103" s="384"/>
      <c r="AC103" s="384"/>
      <c r="AD103" s="384"/>
      <c r="AE103" s="384"/>
      <c r="AF103" s="384"/>
      <c r="AG103" s="384"/>
      <c r="AH103" s="384"/>
      <c r="AI103" s="384"/>
      <c r="AJ103" s="384"/>
    </row>
    <row r="104" spans="1:36" customFormat="1" x14ac:dyDescent="0.25">
      <c r="A104" s="384"/>
      <c r="B104" s="384"/>
      <c r="C104" s="384"/>
      <c r="D104" s="384"/>
      <c r="E104" s="384"/>
      <c r="F104" s="384"/>
      <c r="G104" s="384"/>
      <c r="H104" s="384"/>
      <c r="I104" s="384"/>
      <c r="J104" s="384"/>
      <c r="K104" s="384"/>
      <c r="L104" s="384"/>
      <c r="M104" s="384"/>
      <c r="N104" s="384"/>
      <c r="O104" s="384"/>
      <c r="P104" s="384"/>
      <c r="Q104" s="384"/>
      <c r="R104" s="384"/>
      <c r="S104" s="384"/>
      <c r="T104" s="384"/>
      <c r="U104" s="384"/>
      <c r="V104" s="384"/>
      <c r="W104" s="384"/>
      <c r="X104" s="384"/>
      <c r="Y104" s="384"/>
      <c r="Z104" s="384"/>
      <c r="AA104" s="384"/>
      <c r="AB104" s="384"/>
      <c r="AC104" s="384"/>
      <c r="AD104" s="384"/>
      <c r="AE104" s="384"/>
      <c r="AF104" s="384"/>
      <c r="AG104" s="384"/>
      <c r="AH104" s="384"/>
      <c r="AI104" s="384"/>
      <c r="AJ104" s="384"/>
    </row>
    <row r="105" spans="1:36" customFormat="1" x14ac:dyDescent="0.25">
      <c r="A105" s="384"/>
      <c r="B105" s="384"/>
      <c r="C105" s="384"/>
      <c r="D105" s="384"/>
      <c r="E105" s="384"/>
      <c r="F105" s="384"/>
      <c r="G105" s="384"/>
      <c r="H105" s="384"/>
      <c r="I105" s="384"/>
      <c r="J105" s="384"/>
      <c r="K105" s="384"/>
      <c r="L105" s="384"/>
      <c r="M105" s="384"/>
      <c r="N105" s="384"/>
      <c r="O105" s="384"/>
      <c r="P105" s="384"/>
      <c r="Q105" s="384"/>
      <c r="R105" s="384"/>
      <c r="S105" s="384"/>
      <c r="T105" s="384"/>
      <c r="U105" s="384"/>
      <c r="V105" s="384"/>
      <c r="W105" s="384"/>
      <c r="X105" s="384"/>
      <c r="Y105" s="384"/>
      <c r="Z105" s="384"/>
      <c r="AA105" s="384"/>
      <c r="AB105" s="384"/>
      <c r="AC105" s="384"/>
      <c r="AD105" s="384"/>
      <c r="AE105" s="384"/>
      <c r="AF105" s="384"/>
      <c r="AG105" s="384"/>
      <c r="AH105" s="384"/>
      <c r="AI105" s="384"/>
      <c r="AJ105" s="384"/>
    </row>
    <row r="106" spans="1:36" customFormat="1" x14ac:dyDescent="0.25">
      <c r="A106" s="384"/>
      <c r="B106" s="384"/>
      <c r="C106" s="384"/>
      <c r="D106" s="384"/>
      <c r="E106" s="384"/>
      <c r="F106" s="384"/>
      <c r="G106" s="384"/>
      <c r="H106" s="384"/>
      <c r="I106" s="384"/>
      <c r="J106" s="384"/>
      <c r="K106" s="384"/>
      <c r="L106" s="384"/>
      <c r="M106" s="384"/>
      <c r="N106" s="384"/>
      <c r="O106" s="384"/>
      <c r="P106" s="384"/>
      <c r="Q106" s="384"/>
      <c r="R106" s="384"/>
      <c r="S106" s="384"/>
      <c r="T106" s="384"/>
      <c r="U106" s="384"/>
      <c r="V106" s="384"/>
      <c r="W106" s="384"/>
      <c r="X106" s="384"/>
      <c r="Y106" s="384"/>
      <c r="Z106" s="384"/>
      <c r="AA106" s="384"/>
      <c r="AB106" s="384"/>
      <c r="AC106" s="384"/>
      <c r="AD106" s="384"/>
      <c r="AE106" s="384"/>
      <c r="AF106" s="384"/>
      <c r="AG106" s="384"/>
      <c r="AH106" s="384"/>
      <c r="AI106" s="384"/>
      <c r="AJ106" s="384"/>
    </row>
    <row r="107" spans="1:36" customFormat="1" x14ac:dyDescent="0.25">
      <c r="A107" s="384"/>
      <c r="B107" s="384"/>
      <c r="C107" s="384"/>
      <c r="D107" s="384"/>
      <c r="E107" s="384"/>
      <c r="F107" s="384"/>
      <c r="G107" s="384"/>
      <c r="H107" s="384"/>
      <c r="I107" s="384"/>
      <c r="J107" s="384"/>
      <c r="K107" s="384"/>
      <c r="L107" s="384"/>
      <c r="M107" s="384"/>
      <c r="N107" s="384"/>
      <c r="O107" s="384"/>
      <c r="P107" s="384"/>
      <c r="Q107" s="384"/>
      <c r="R107" s="384"/>
      <c r="S107" s="384"/>
      <c r="T107" s="384"/>
      <c r="U107" s="384"/>
      <c r="V107" s="384"/>
      <c r="W107" s="384"/>
      <c r="X107" s="384"/>
      <c r="Y107" s="384"/>
      <c r="Z107" s="384"/>
      <c r="AA107" s="384"/>
      <c r="AB107" s="384"/>
      <c r="AC107" s="384"/>
      <c r="AD107" s="384"/>
      <c r="AE107" s="384"/>
      <c r="AF107" s="384"/>
      <c r="AG107" s="384"/>
      <c r="AH107" s="384"/>
      <c r="AI107" s="384"/>
      <c r="AJ107" s="384"/>
    </row>
    <row r="108" spans="1:36" customFormat="1" x14ac:dyDescent="0.25">
      <c r="A108" s="384"/>
      <c r="B108" s="384"/>
      <c r="C108" s="384"/>
      <c r="D108" s="384"/>
      <c r="E108" s="384"/>
      <c r="F108" s="384"/>
      <c r="G108" s="384"/>
      <c r="H108" s="384"/>
      <c r="I108" s="384"/>
      <c r="J108" s="384"/>
      <c r="K108" s="384"/>
      <c r="L108" s="384"/>
      <c r="M108" s="384"/>
      <c r="N108" s="384"/>
      <c r="O108" s="384"/>
      <c r="P108" s="384"/>
      <c r="Q108" s="384"/>
      <c r="R108" s="384"/>
      <c r="S108" s="384"/>
      <c r="T108" s="384"/>
      <c r="U108" s="384"/>
      <c r="V108" s="384"/>
      <c r="W108" s="384"/>
      <c r="X108" s="384"/>
      <c r="Y108" s="384"/>
      <c r="Z108" s="384"/>
      <c r="AA108" s="384"/>
      <c r="AB108" s="384"/>
      <c r="AC108" s="384"/>
      <c r="AD108" s="384"/>
      <c r="AE108" s="384"/>
      <c r="AF108" s="384"/>
      <c r="AG108" s="384"/>
      <c r="AH108" s="384"/>
      <c r="AI108" s="384"/>
      <c r="AJ108" s="384"/>
    </row>
    <row r="109" spans="1:36" customFormat="1" x14ac:dyDescent="0.25">
      <c r="A109" s="384"/>
      <c r="B109" s="384"/>
      <c r="C109" s="384"/>
      <c r="D109" s="384"/>
      <c r="E109" s="384"/>
      <c r="F109" s="384"/>
      <c r="G109" s="384"/>
      <c r="H109" s="384"/>
      <c r="I109" s="384"/>
      <c r="J109" s="384"/>
      <c r="K109" s="384"/>
      <c r="L109" s="384"/>
      <c r="M109" s="384"/>
      <c r="N109" s="384"/>
      <c r="O109" s="384"/>
      <c r="P109" s="384"/>
      <c r="Q109" s="384"/>
      <c r="R109" s="384"/>
      <c r="S109" s="384"/>
      <c r="T109" s="384"/>
      <c r="U109" s="384"/>
      <c r="V109" s="384"/>
      <c r="W109" s="384"/>
      <c r="X109" s="384"/>
      <c r="Y109" s="384"/>
      <c r="Z109" s="384"/>
      <c r="AA109" s="384"/>
      <c r="AB109" s="384"/>
      <c r="AC109" s="384"/>
      <c r="AD109" s="384"/>
      <c r="AE109" s="384"/>
      <c r="AF109" s="384"/>
      <c r="AG109" s="384"/>
      <c r="AH109" s="384"/>
      <c r="AI109" s="384"/>
      <c r="AJ109" s="384"/>
    </row>
    <row r="110" spans="1:36" customFormat="1" x14ac:dyDescent="0.25">
      <c r="A110" s="384"/>
      <c r="B110" s="384"/>
      <c r="C110" s="384"/>
      <c r="D110" s="384"/>
      <c r="E110" s="384"/>
      <c r="F110" s="384"/>
      <c r="G110" s="384"/>
      <c r="H110" s="384"/>
      <c r="I110" s="384"/>
      <c r="J110" s="384"/>
      <c r="K110" s="384"/>
      <c r="L110" s="384"/>
      <c r="M110" s="384"/>
      <c r="N110" s="384"/>
      <c r="O110" s="384"/>
      <c r="P110" s="384"/>
      <c r="Q110" s="384"/>
      <c r="R110" s="384"/>
      <c r="S110" s="384"/>
      <c r="T110" s="384"/>
      <c r="U110" s="384"/>
      <c r="V110" s="384"/>
      <c r="W110" s="384"/>
      <c r="X110" s="384"/>
      <c r="Y110" s="384"/>
      <c r="Z110" s="384"/>
      <c r="AA110" s="384"/>
      <c r="AB110" s="384"/>
      <c r="AC110" s="384"/>
      <c r="AD110" s="384"/>
      <c r="AE110" s="384"/>
      <c r="AF110" s="384"/>
      <c r="AG110" s="384"/>
      <c r="AH110" s="384"/>
      <c r="AI110" s="384"/>
      <c r="AJ110" s="384"/>
    </row>
    <row r="111" spans="1:36" customFormat="1" x14ac:dyDescent="0.25">
      <c r="A111" s="384"/>
      <c r="B111" s="384"/>
      <c r="C111" s="384"/>
      <c r="D111" s="384"/>
      <c r="E111" s="384"/>
      <c r="F111" s="384"/>
      <c r="G111" s="384"/>
      <c r="H111" s="384"/>
      <c r="I111" s="384"/>
      <c r="J111" s="384"/>
      <c r="K111" s="384"/>
      <c r="L111" s="384"/>
      <c r="M111" s="384"/>
      <c r="N111" s="384"/>
      <c r="O111" s="384"/>
      <c r="P111" s="384"/>
      <c r="Q111" s="384"/>
      <c r="R111" s="384"/>
      <c r="S111" s="384"/>
      <c r="T111" s="384"/>
      <c r="U111" s="384"/>
      <c r="V111" s="384"/>
      <c r="W111" s="384"/>
      <c r="X111" s="384"/>
      <c r="Y111" s="384"/>
      <c r="Z111" s="384"/>
      <c r="AA111" s="384"/>
      <c r="AB111" s="384"/>
      <c r="AC111" s="384"/>
      <c r="AD111" s="384"/>
      <c r="AE111" s="384"/>
      <c r="AF111" s="384"/>
      <c r="AG111" s="384"/>
      <c r="AH111" s="384"/>
      <c r="AI111" s="384"/>
      <c r="AJ111" s="384"/>
    </row>
    <row r="112" spans="1:36" customFormat="1" x14ac:dyDescent="0.25">
      <c r="A112" s="384"/>
      <c r="B112" s="384"/>
      <c r="C112" s="384"/>
      <c r="D112" s="384"/>
      <c r="E112" s="384"/>
      <c r="F112" s="384"/>
      <c r="G112" s="384"/>
      <c r="H112" s="384"/>
      <c r="I112" s="384"/>
      <c r="J112" s="384"/>
      <c r="K112" s="384"/>
      <c r="L112" s="384"/>
      <c r="M112" s="384"/>
      <c r="N112" s="384"/>
      <c r="O112" s="384"/>
      <c r="P112" s="384"/>
      <c r="Q112" s="384"/>
      <c r="R112" s="384"/>
      <c r="S112" s="384"/>
      <c r="T112" s="384"/>
      <c r="U112" s="384"/>
      <c r="V112" s="384"/>
      <c r="W112" s="384"/>
      <c r="X112" s="384"/>
      <c r="Y112" s="384"/>
      <c r="Z112" s="384"/>
      <c r="AA112" s="384"/>
      <c r="AB112" s="384"/>
      <c r="AC112" s="384"/>
      <c r="AD112" s="384"/>
      <c r="AE112" s="384"/>
      <c r="AF112" s="384"/>
      <c r="AG112" s="384"/>
      <c r="AH112" s="384"/>
      <c r="AI112" s="384"/>
      <c r="AJ112" s="384"/>
    </row>
    <row r="113" spans="1:36" customFormat="1" x14ac:dyDescent="0.25">
      <c r="A113" s="384"/>
      <c r="B113" s="384"/>
      <c r="C113" s="384"/>
      <c r="D113" s="384"/>
      <c r="E113" s="384"/>
      <c r="F113" s="384"/>
      <c r="G113" s="384"/>
      <c r="H113" s="384"/>
      <c r="I113" s="384"/>
      <c r="J113" s="384"/>
      <c r="K113" s="384"/>
      <c r="L113" s="384"/>
      <c r="M113" s="384"/>
      <c r="N113" s="384"/>
      <c r="O113" s="384"/>
      <c r="P113" s="384"/>
      <c r="Q113" s="384"/>
      <c r="R113" s="384"/>
      <c r="S113" s="384"/>
      <c r="T113" s="384"/>
      <c r="U113" s="384"/>
      <c r="V113" s="384"/>
      <c r="W113" s="384"/>
      <c r="X113" s="384"/>
      <c r="Y113" s="384"/>
      <c r="Z113" s="384"/>
      <c r="AA113" s="384"/>
      <c r="AB113" s="384"/>
      <c r="AC113" s="384"/>
      <c r="AD113" s="384"/>
      <c r="AE113" s="384"/>
      <c r="AF113" s="384"/>
      <c r="AG113" s="384"/>
      <c r="AH113" s="384"/>
      <c r="AI113" s="384"/>
      <c r="AJ113" s="384"/>
    </row>
    <row r="114" spans="1:36" customFormat="1" x14ac:dyDescent="0.25">
      <c r="A114" s="384"/>
      <c r="B114" s="384"/>
      <c r="C114" s="384"/>
      <c r="D114" s="384"/>
      <c r="E114" s="384"/>
      <c r="F114" s="384"/>
      <c r="G114" s="384"/>
      <c r="H114" s="384"/>
      <c r="I114" s="384"/>
      <c r="J114" s="384"/>
      <c r="K114" s="384"/>
      <c r="L114" s="384"/>
      <c r="M114" s="384"/>
      <c r="N114" s="384"/>
      <c r="O114" s="384"/>
      <c r="P114" s="384"/>
      <c r="Q114" s="384"/>
      <c r="R114" s="384"/>
      <c r="S114" s="384"/>
      <c r="T114" s="384"/>
      <c r="U114" s="384"/>
      <c r="V114" s="384"/>
      <c r="W114" s="384"/>
      <c r="X114" s="384"/>
      <c r="Y114" s="384"/>
      <c r="Z114" s="384"/>
      <c r="AA114" s="384"/>
      <c r="AB114" s="384"/>
      <c r="AC114" s="384"/>
      <c r="AD114" s="384"/>
      <c r="AE114" s="384"/>
      <c r="AF114" s="384"/>
      <c r="AG114" s="384"/>
      <c r="AH114" s="384"/>
      <c r="AI114" s="384"/>
      <c r="AJ114" s="384"/>
    </row>
    <row r="115" spans="1:36" customFormat="1" x14ac:dyDescent="0.25">
      <c r="A115" s="384"/>
      <c r="B115" s="384"/>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row>
    <row r="116" spans="1:36" customFormat="1" x14ac:dyDescent="0.25">
      <c r="A116" s="384"/>
      <c r="B116" s="384"/>
      <c r="C116" s="384"/>
      <c r="D116" s="384"/>
      <c r="E116" s="384"/>
      <c r="F116" s="384"/>
      <c r="G116" s="384"/>
      <c r="H116" s="384"/>
      <c r="I116" s="384"/>
      <c r="J116" s="384"/>
      <c r="K116" s="384"/>
      <c r="L116" s="384"/>
      <c r="M116" s="384"/>
      <c r="N116" s="384"/>
      <c r="O116" s="384"/>
      <c r="P116" s="384"/>
      <c r="Q116" s="384"/>
      <c r="R116" s="384"/>
      <c r="S116" s="384"/>
      <c r="T116" s="384"/>
      <c r="U116" s="384"/>
      <c r="V116" s="384"/>
      <c r="W116" s="384"/>
      <c r="X116" s="384"/>
      <c r="Y116" s="384"/>
      <c r="Z116" s="384"/>
      <c r="AA116" s="384"/>
      <c r="AB116" s="384"/>
      <c r="AC116" s="384"/>
      <c r="AD116" s="384"/>
      <c r="AE116" s="384"/>
      <c r="AF116" s="384"/>
      <c r="AG116" s="384"/>
      <c r="AH116" s="384"/>
      <c r="AI116" s="384"/>
      <c r="AJ116" s="384"/>
    </row>
    <row r="117" spans="1:36" customFormat="1" x14ac:dyDescent="0.25">
      <c r="A117" s="384"/>
      <c r="B117" s="384"/>
      <c r="C117" s="384"/>
      <c r="D117" s="384"/>
      <c r="E117" s="384"/>
      <c r="F117" s="384"/>
      <c r="G117" s="384"/>
      <c r="H117" s="384"/>
      <c r="I117" s="384"/>
      <c r="J117" s="384"/>
      <c r="K117" s="384"/>
      <c r="L117" s="384"/>
      <c r="M117" s="384"/>
      <c r="N117" s="384"/>
      <c r="O117" s="384"/>
      <c r="P117" s="384"/>
      <c r="Q117" s="384"/>
      <c r="R117" s="384"/>
      <c r="S117" s="384"/>
      <c r="T117" s="384"/>
      <c r="U117" s="384"/>
      <c r="V117" s="384"/>
      <c r="W117" s="384"/>
      <c r="X117" s="384"/>
      <c r="Y117" s="384"/>
      <c r="Z117" s="384"/>
      <c r="AA117" s="384"/>
      <c r="AB117" s="384"/>
      <c r="AC117" s="384"/>
      <c r="AD117" s="384"/>
      <c r="AE117" s="384"/>
      <c r="AF117" s="384"/>
      <c r="AG117" s="384"/>
      <c r="AH117" s="384"/>
      <c r="AI117" s="384"/>
      <c r="AJ117" s="384"/>
    </row>
    <row r="118" spans="1:36" customFormat="1" x14ac:dyDescent="0.25">
      <c r="A118" s="384"/>
      <c r="B118" s="384"/>
      <c r="C118" s="384"/>
      <c r="D118" s="384"/>
      <c r="E118" s="384"/>
      <c r="F118" s="384"/>
      <c r="G118" s="384"/>
      <c r="H118" s="384"/>
      <c r="I118" s="384"/>
      <c r="J118" s="384"/>
      <c r="K118" s="384"/>
      <c r="L118" s="384"/>
      <c r="M118" s="384"/>
      <c r="N118" s="384"/>
      <c r="O118" s="384"/>
      <c r="P118" s="384"/>
      <c r="Q118" s="384"/>
      <c r="R118" s="384"/>
      <c r="S118" s="384"/>
      <c r="T118" s="384"/>
      <c r="U118" s="384"/>
      <c r="V118" s="384"/>
      <c r="W118" s="384"/>
      <c r="X118" s="384"/>
      <c r="Y118" s="384"/>
      <c r="Z118" s="384"/>
      <c r="AA118" s="384"/>
      <c r="AB118" s="384"/>
      <c r="AC118" s="384"/>
      <c r="AD118" s="384"/>
      <c r="AE118" s="384"/>
      <c r="AF118" s="384"/>
      <c r="AG118" s="384"/>
      <c r="AH118" s="384"/>
      <c r="AI118" s="384"/>
      <c r="AJ118" s="384"/>
    </row>
    <row r="119" spans="1:36" customFormat="1" x14ac:dyDescent="0.25">
      <c r="A119" s="384"/>
      <c r="B119" s="384"/>
      <c r="C119" s="384"/>
      <c r="D119" s="384"/>
      <c r="E119" s="384"/>
      <c r="F119" s="384"/>
      <c r="G119" s="384"/>
      <c r="H119" s="384"/>
      <c r="I119" s="384"/>
      <c r="J119" s="384"/>
      <c r="K119" s="384"/>
      <c r="L119" s="384"/>
      <c r="M119" s="384"/>
      <c r="N119" s="384"/>
      <c r="O119" s="384"/>
      <c r="P119" s="384"/>
      <c r="Q119" s="384"/>
      <c r="R119" s="384"/>
      <c r="S119" s="384"/>
      <c r="T119" s="384"/>
      <c r="U119" s="384"/>
      <c r="V119" s="384"/>
      <c r="W119" s="384"/>
      <c r="X119" s="384"/>
      <c r="Y119" s="384"/>
      <c r="Z119" s="384"/>
      <c r="AA119" s="384"/>
      <c r="AB119" s="384"/>
      <c r="AC119" s="384"/>
      <c r="AD119" s="384"/>
      <c r="AE119" s="384"/>
      <c r="AF119" s="384"/>
      <c r="AG119" s="384"/>
      <c r="AH119" s="384"/>
      <c r="AI119" s="384"/>
      <c r="AJ119" s="384"/>
    </row>
    <row r="120" spans="1:36" customFormat="1" x14ac:dyDescent="0.25">
      <c r="A120" s="384"/>
      <c r="B120" s="384"/>
      <c r="C120" s="384"/>
      <c r="D120" s="384"/>
      <c r="E120" s="384"/>
      <c r="F120" s="384"/>
      <c r="G120" s="384"/>
      <c r="H120" s="384"/>
      <c r="I120" s="384"/>
      <c r="J120" s="384"/>
      <c r="K120" s="384"/>
      <c r="L120" s="384"/>
      <c r="M120" s="384"/>
      <c r="N120" s="384"/>
      <c r="O120" s="384"/>
      <c r="P120" s="384"/>
      <c r="Q120" s="384"/>
      <c r="R120" s="384"/>
      <c r="S120" s="384"/>
      <c r="T120" s="384"/>
      <c r="U120" s="384"/>
      <c r="V120" s="384"/>
      <c r="W120" s="384"/>
      <c r="X120" s="384"/>
      <c r="Y120" s="384"/>
      <c r="Z120" s="384"/>
      <c r="AA120" s="384"/>
      <c r="AB120" s="384"/>
      <c r="AC120" s="384"/>
      <c r="AD120" s="384"/>
      <c r="AE120" s="384"/>
      <c r="AF120" s="384"/>
      <c r="AG120" s="384"/>
      <c r="AH120" s="384"/>
      <c r="AI120" s="384"/>
      <c r="AJ120" s="384"/>
    </row>
    <row r="121" spans="1:36" customFormat="1" x14ac:dyDescent="0.25">
      <c r="A121" s="384"/>
      <c r="B121" s="384"/>
      <c r="C121" s="384"/>
      <c r="D121" s="384"/>
      <c r="E121" s="384"/>
      <c r="F121" s="384"/>
      <c r="G121" s="384"/>
      <c r="H121" s="384"/>
      <c r="I121" s="384"/>
      <c r="J121" s="384"/>
      <c r="K121" s="384"/>
      <c r="L121" s="384"/>
      <c r="M121" s="384"/>
      <c r="N121" s="384"/>
      <c r="O121" s="384"/>
      <c r="P121" s="384"/>
      <c r="Q121" s="384"/>
      <c r="R121" s="384"/>
      <c r="S121" s="384"/>
      <c r="T121" s="384"/>
      <c r="U121" s="384"/>
      <c r="V121" s="384"/>
      <c r="W121" s="384"/>
      <c r="X121" s="384"/>
      <c r="Y121" s="384"/>
      <c r="Z121" s="384"/>
      <c r="AA121" s="384"/>
      <c r="AB121" s="384"/>
      <c r="AC121" s="384"/>
      <c r="AD121" s="384"/>
      <c r="AE121" s="384"/>
      <c r="AF121" s="384"/>
      <c r="AG121" s="384"/>
      <c r="AH121" s="384"/>
      <c r="AI121" s="384"/>
      <c r="AJ121" s="384"/>
    </row>
    <row r="122" spans="1:36" customFormat="1" x14ac:dyDescent="0.25">
      <c r="A122" s="384"/>
      <c r="B122" s="384"/>
      <c r="C122" s="384"/>
      <c r="D122" s="384"/>
      <c r="E122" s="384"/>
      <c r="F122" s="384"/>
      <c r="G122" s="384"/>
      <c r="H122" s="384"/>
      <c r="I122" s="384"/>
      <c r="J122" s="384"/>
      <c r="K122" s="384"/>
      <c r="L122" s="384"/>
      <c r="M122" s="384"/>
      <c r="N122" s="384"/>
      <c r="O122" s="384"/>
      <c r="P122" s="384"/>
      <c r="Q122" s="384"/>
      <c r="R122" s="384"/>
      <c r="S122" s="384"/>
      <c r="T122" s="384"/>
      <c r="U122" s="384"/>
      <c r="V122" s="384"/>
      <c r="W122" s="384"/>
      <c r="X122" s="384"/>
      <c r="Y122" s="384"/>
      <c r="Z122" s="384"/>
      <c r="AA122" s="384"/>
      <c r="AB122" s="384"/>
      <c r="AC122" s="384"/>
      <c r="AD122" s="384"/>
      <c r="AE122" s="384"/>
      <c r="AF122" s="384"/>
      <c r="AG122" s="384"/>
      <c r="AH122" s="384"/>
      <c r="AI122" s="384"/>
      <c r="AJ122" s="384"/>
    </row>
    <row r="123" spans="1:36" customFormat="1" x14ac:dyDescent="0.25">
      <c r="A123" s="384"/>
      <c r="B123" s="384"/>
      <c r="C123" s="384"/>
      <c r="D123" s="384"/>
      <c r="E123" s="384"/>
      <c r="F123" s="384"/>
      <c r="G123" s="384"/>
      <c r="H123" s="384"/>
      <c r="I123" s="384"/>
      <c r="J123" s="384"/>
      <c r="K123" s="384"/>
      <c r="L123" s="384"/>
      <c r="M123" s="384"/>
      <c r="N123" s="384"/>
      <c r="O123" s="384"/>
      <c r="P123" s="384"/>
      <c r="Q123" s="384"/>
      <c r="R123" s="384"/>
      <c r="S123" s="384"/>
      <c r="T123" s="384"/>
      <c r="U123" s="384"/>
      <c r="V123" s="384"/>
      <c r="W123" s="384"/>
      <c r="X123" s="384"/>
      <c r="Y123" s="384"/>
      <c r="Z123" s="384"/>
      <c r="AA123" s="384"/>
      <c r="AB123" s="384"/>
      <c r="AC123" s="384"/>
      <c r="AD123" s="384"/>
      <c r="AE123" s="384"/>
      <c r="AF123" s="384"/>
      <c r="AG123" s="384"/>
      <c r="AH123" s="384"/>
      <c r="AI123" s="384"/>
      <c r="AJ123" s="384"/>
    </row>
    <row r="124" spans="1:36" customFormat="1" x14ac:dyDescent="0.25">
      <c r="A124" s="384"/>
      <c r="B124" s="384"/>
      <c r="C124" s="384"/>
      <c r="D124" s="384"/>
      <c r="E124" s="384"/>
      <c r="F124" s="384"/>
      <c r="G124" s="384"/>
      <c r="H124" s="384"/>
      <c r="I124" s="384"/>
      <c r="J124" s="384"/>
      <c r="K124" s="384"/>
      <c r="L124" s="384"/>
      <c r="M124" s="384"/>
      <c r="N124" s="384"/>
      <c r="O124" s="384"/>
      <c r="P124" s="384"/>
      <c r="Q124" s="384"/>
      <c r="R124" s="384"/>
      <c r="S124" s="384"/>
      <c r="T124" s="384"/>
      <c r="U124" s="384"/>
      <c r="V124" s="384"/>
      <c r="W124" s="384"/>
      <c r="X124" s="384"/>
      <c r="Y124" s="384"/>
      <c r="Z124" s="384"/>
      <c r="AA124" s="384"/>
      <c r="AB124" s="384"/>
      <c r="AC124" s="384"/>
      <c r="AD124" s="384"/>
      <c r="AE124" s="384"/>
      <c r="AF124" s="384"/>
      <c r="AG124" s="384"/>
      <c r="AH124" s="384"/>
      <c r="AI124" s="384"/>
      <c r="AJ124" s="384"/>
    </row>
    <row r="125" spans="1:36" customFormat="1" x14ac:dyDescent="0.25">
      <c r="A125" s="384"/>
      <c r="B125" s="384"/>
      <c r="C125" s="384"/>
      <c r="D125" s="384"/>
      <c r="E125" s="384"/>
      <c r="F125" s="384"/>
      <c r="G125" s="384"/>
      <c r="H125" s="384"/>
      <c r="I125" s="384"/>
      <c r="J125" s="384"/>
      <c r="K125" s="384"/>
      <c r="L125" s="384"/>
      <c r="M125" s="384"/>
      <c r="N125" s="384"/>
      <c r="O125" s="384"/>
      <c r="P125" s="384"/>
      <c r="Q125" s="384"/>
      <c r="R125" s="384"/>
      <c r="S125" s="384"/>
      <c r="T125" s="384"/>
      <c r="U125" s="384"/>
      <c r="V125" s="384"/>
      <c r="W125" s="384"/>
      <c r="X125" s="384"/>
      <c r="Y125" s="384"/>
      <c r="Z125" s="384"/>
      <c r="AA125" s="384"/>
      <c r="AB125" s="384"/>
      <c r="AC125" s="384"/>
      <c r="AD125" s="384"/>
      <c r="AE125" s="384"/>
      <c r="AF125" s="384"/>
      <c r="AG125" s="384"/>
      <c r="AH125" s="384"/>
      <c r="AI125" s="384"/>
      <c r="AJ125" s="384"/>
    </row>
    <row r="126" spans="1:36" customFormat="1" x14ac:dyDescent="0.25">
      <c r="A126" s="384"/>
      <c r="B126" s="384"/>
      <c r="C126" s="384"/>
      <c r="D126" s="384"/>
      <c r="E126" s="384"/>
      <c r="F126" s="384"/>
      <c r="G126" s="384"/>
      <c r="H126" s="384"/>
      <c r="I126" s="384"/>
      <c r="J126" s="384"/>
      <c r="K126" s="384"/>
      <c r="L126" s="384"/>
      <c r="M126" s="384"/>
      <c r="N126" s="384"/>
      <c r="O126" s="384"/>
      <c r="P126" s="384"/>
      <c r="Q126" s="384"/>
      <c r="R126" s="384"/>
      <c r="S126" s="384"/>
      <c r="T126" s="384"/>
      <c r="U126" s="384"/>
      <c r="V126" s="384"/>
      <c r="W126" s="384"/>
      <c r="X126" s="384"/>
      <c r="Y126" s="384"/>
      <c r="Z126" s="384"/>
      <c r="AA126" s="384"/>
      <c r="AB126" s="384"/>
      <c r="AC126" s="384"/>
      <c r="AD126" s="384"/>
      <c r="AE126" s="384"/>
      <c r="AF126" s="384"/>
      <c r="AG126" s="384"/>
      <c r="AH126" s="384"/>
      <c r="AI126" s="384"/>
      <c r="AJ126" s="384"/>
    </row>
    <row r="127" spans="1:36" customFormat="1" x14ac:dyDescent="0.25">
      <c r="A127" s="384"/>
      <c r="B127" s="384"/>
      <c r="C127" s="384"/>
      <c r="D127" s="384"/>
      <c r="E127" s="384"/>
      <c r="F127" s="384"/>
      <c r="G127" s="384"/>
      <c r="H127" s="384"/>
      <c r="I127" s="384"/>
      <c r="J127" s="384"/>
      <c r="K127" s="384"/>
      <c r="L127" s="384"/>
      <c r="M127" s="384"/>
      <c r="N127" s="384"/>
      <c r="O127" s="384"/>
      <c r="P127" s="384"/>
      <c r="Q127" s="384"/>
      <c r="R127" s="384"/>
      <c r="S127" s="384"/>
      <c r="T127" s="384"/>
      <c r="U127" s="384"/>
      <c r="V127" s="384"/>
      <c r="W127" s="384"/>
      <c r="X127" s="384"/>
      <c r="Y127" s="384"/>
      <c r="Z127" s="384"/>
      <c r="AA127" s="384"/>
      <c r="AB127" s="384"/>
      <c r="AC127" s="384"/>
      <c r="AD127" s="384"/>
      <c r="AE127" s="384"/>
      <c r="AF127" s="384"/>
      <c r="AG127" s="384"/>
      <c r="AH127" s="384"/>
      <c r="AI127" s="384"/>
      <c r="AJ127" s="384"/>
    </row>
    <row r="128" spans="1:36" customFormat="1" x14ac:dyDescent="0.25">
      <c r="A128" s="384"/>
      <c r="B128" s="384"/>
      <c r="C128" s="384"/>
      <c r="D128" s="384"/>
      <c r="E128" s="384"/>
      <c r="F128" s="384"/>
      <c r="G128" s="384"/>
      <c r="H128" s="384"/>
      <c r="I128" s="384"/>
      <c r="J128" s="384"/>
      <c r="K128" s="384"/>
      <c r="L128" s="384"/>
      <c r="M128" s="384"/>
      <c r="N128" s="384"/>
      <c r="O128" s="384"/>
      <c r="P128" s="384"/>
      <c r="Q128" s="384"/>
      <c r="R128" s="384"/>
      <c r="S128" s="384"/>
      <c r="T128" s="384"/>
      <c r="U128" s="384"/>
      <c r="V128" s="384"/>
      <c r="W128" s="384"/>
      <c r="X128" s="384"/>
      <c r="Y128" s="384"/>
      <c r="Z128" s="384"/>
      <c r="AA128" s="384"/>
      <c r="AB128" s="384"/>
      <c r="AC128" s="384"/>
      <c r="AD128" s="384"/>
      <c r="AE128" s="384"/>
      <c r="AF128" s="384"/>
      <c r="AG128" s="384"/>
      <c r="AH128" s="384"/>
      <c r="AI128" s="384"/>
      <c r="AJ128" s="384"/>
    </row>
    <row r="129" spans="1:36" customFormat="1" x14ac:dyDescent="0.25">
      <c r="A129" s="384"/>
      <c r="B129" s="384"/>
      <c r="C129" s="384"/>
      <c r="D129" s="384"/>
      <c r="E129" s="384"/>
      <c r="F129" s="384"/>
      <c r="G129" s="384"/>
      <c r="H129" s="384"/>
      <c r="I129" s="384"/>
      <c r="J129" s="384"/>
      <c r="K129" s="384"/>
      <c r="L129" s="384"/>
      <c r="M129" s="384"/>
      <c r="N129" s="384"/>
      <c r="O129" s="384"/>
      <c r="P129" s="384"/>
      <c r="Q129" s="384"/>
      <c r="R129" s="384"/>
      <c r="S129" s="384"/>
      <c r="T129" s="384"/>
      <c r="U129" s="384"/>
      <c r="V129" s="384"/>
      <c r="W129" s="384"/>
      <c r="X129" s="384"/>
      <c r="Y129" s="384"/>
      <c r="Z129" s="384"/>
      <c r="AA129" s="384"/>
      <c r="AB129" s="384"/>
      <c r="AC129" s="384"/>
      <c r="AD129" s="384"/>
      <c r="AE129" s="384"/>
      <c r="AF129" s="384"/>
      <c r="AG129" s="384"/>
      <c r="AH129" s="384"/>
      <c r="AI129" s="384"/>
      <c r="AJ129" s="384"/>
    </row>
    <row r="130" spans="1:36" customFormat="1" x14ac:dyDescent="0.25">
      <c r="A130" s="384"/>
      <c r="B130" s="384"/>
      <c r="C130" s="384"/>
      <c r="D130" s="384"/>
      <c r="E130" s="384"/>
      <c r="F130" s="384"/>
      <c r="G130" s="384"/>
      <c r="H130" s="384"/>
      <c r="I130" s="384"/>
      <c r="J130" s="384"/>
      <c r="K130" s="384"/>
      <c r="L130" s="384"/>
      <c r="M130" s="384"/>
      <c r="N130" s="384"/>
      <c r="O130" s="384"/>
      <c r="P130" s="384"/>
      <c r="Q130" s="384"/>
      <c r="R130" s="384"/>
      <c r="S130" s="384"/>
      <c r="T130" s="384"/>
      <c r="U130" s="384"/>
      <c r="V130" s="384"/>
      <c r="W130" s="384"/>
      <c r="X130" s="384"/>
      <c r="Y130" s="384"/>
      <c r="Z130" s="384"/>
      <c r="AA130" s="384"/>
      <c r="AB130" s="384"/>
      <c r="AC130" s="384"/>
      <c r="AD130" s="384"/>
      <c r="AE130" s="384"/>
      <c r="AF130" s="384"/>
      <c r="AG130" s="384"/>
      <c r="AH130" s="384"/>
      <c r="AI130" s="384"/>
      <c r="AJ130" s="384"/>
    </row>
    <row r="131" spans="1:36" customFormat="1" x14ac:dyDescent="0.25">
      <c r="A131" s="384"/>
      <c r="B131" s="384"/>
      <c r="C131" s="384"/>
      <c r="D131" s="384"/>
      <c r="E131" s="384"/>
      <c r="F131" s="384"/>
      <c r="G131" s="384"/>
      <c r="H131" s="384"/>
      <c r="I131" s="384"/>
      <c r="J131" s="384"/>
      <c r="K131" s="384"/>
      <c r="L131" s="384"/>
      <c r="M131" s="384"/>
      <c r="N131" s="384"/>
      <c r="O131" s="384"/>
      <c r="P131" s="384"/>
      <c r="Q131" s="384"/>
      <c r="R131" s="384"/>
      <c r="S131" s="384"/>
      <c r="T131" s="384"/>
      <c r="U131" s="384"/>
      <c r="V131" s="384"/>
      <c r="W131" s="384"/>
      <c r="X131" s="384"/>
      <c r="Y131" s="384"/>
      <c r="Z131" s="384"/>
      <c r="AA131" s="384"/>
      <c r="AB131" s="384"/>
      <c r="AC131" s="384"/>
      <c r="AD131" s="384"/>
      <c r="AE131" s="384"/>
      <c r="AF131" s="384"/>
      <c r="AG131" s="384"/>
      <c r="AH131" s="384"/>
      <c r="AI131" s="384"/>
      <c r="AJ131" s="384"/>
    </row>
    <row r="132" spans="1:36" customFormat="1" x14ac:dyDescent="0.25">
      <c r="A132" s="384"/>
      <c r="B132" s="384"/>
      <c r="C132" s="384"/>
      <c r="D132" s="384"/>
      <c r="E132" s="384"/>
      <c r="F132" s="384"/>
      <c r="G132" s="384"/>
      <c r="H132" s="384"/>
      <c r="I132" s="384"/>
      <c r="J132" s="384"/>
      <c r="K132" s="384"/>
      <c r="L132" s="384"/>
      <c r="M132" s="384"/>
      <c r="N132" s="384"/>
      <c r="O132" s="384"/>
      <c r="P132" s="384"/>
      <c r="Q132" s="384"/>
      <c r="R132" s="384"/>
      <c r="S132" s="384"/>
      <c r="T132" s="384"/>
      <c r="U132" s="384"/>
      <c r="V132" s="384"/>
      <c r="W132" s="384"/>
      <c r="X132" s="384"/>
      <c r="Y132" s="384"/>
      <c r="Z132" s="384"/>
      <c r="AA132" s="384"/>
      <c r="AB132" s="384"/>
      <c r="AC132" s="384"/>
      <c r="AD132" s="384"/>
      <c r="AE132" s="384"/>
      <c r="AF132" s="384"/>
      <c r="AG132" s="384"/>
      <c r="AH132" s="384"/>
      <c r="AI132" s="384"/>
      <c r="AJ132" s="384"/>
    </row>
    <row r="133" spans="1:36" customFormat="1" x14ac:dyDescent="0.25">
      <c r="A133" s="384"/>
      <c r="B133" s="384"/>
      <c r="C133" s="384"/>
      <c r="D133" s="384"/>
      <c r="E133" s="384"/>
      <c r="F133" s="384"/>
      <c r="G133" s="384"/>
      <c r="H133" s="384"/>
      <c r="I133" s="384"/>
      <c r="J133" s="384"/>
      <c r="K133" s="384"/>
      <c r="L133" s="384"/>
      <c r="M133" s="384"/>
      <c r="N133" s="384"/>
      <c r="O133" s="384"/>
      <c r="P133" s="384"/>
      <c r="Q133" s="384"/>
      <c r="R133" s="384"/>
      <c r="S133" s="384"/>
      <c r="T133" s="384"/>
      <c r="U133" s="384"/>
      <c r="V133" s="384"/>
      <c r="W133" s="384"/>
      <c r="X133" s="384"/>
      <c r="Y133" s="384"/>
      <c r="Z133" s="384"/>
      <c r="AA133" s="384"/>
      <c r="AB133" s="384"/>
      <c r="AC133" s="384"/>
      <c r="AD133" s="384"/>
      <c r="AE133" s="384"/>
      <c r="AF133" s="384"/>
      <c r="AG133" s="384"/>
      <c r="AH133" s="384"/>
      <c r="AI133" s="384"/>
      <c r="AJ133" s="384"/>
    </row>
    <row r="134" spans="1:36" customFormat="1" x14ac:dyDescent="0.25">
      <c r="A134" s="384"/>
      <c r="B134" s="384"/>
      <c r="C134" s="384"/>
      <c r="D134" s="384"/>
      <c r="E134" s="384"/>
      <c r="F134" s="384"/>
      <c r="G134" s="384"/>
      <c r="H134" s="384"/>
      <c r="I134" s="384"/>
      <c r="J134" s="384"/>
      <c r="K134" s="384"/>
      <c r="L134" s="384"/>
      <c r="M134" s="384"/>
      <c r="N134" s="384"/>
      <c r="O134" s="384"/>
      <c r="P134" s="384"/>
      <c r="Q134" s="384"/>
      <c r="R134" s="384"/>
      <c r="S134" s="384"/>
      <c r="T134" s="384"/>
      <c r="U134" s="384"/>
      <c r="V134" s="384"/>
      <c r="W134" s="384"/>
      <c r="X134" s="384"/>
      <c r="Y134" s="384"/>
      <c r="Z134" s="384"/>
      <c r="AA134" s="384"/>
      <c r="AB134" s="384"/>
      <c r="AC134" s="384"/>
      <c r="AD134" s="384"/>
      <c r="AE134" s="384"/>
      <c r="AF134" s="384"/>
      <c r="AG134" s="384"/>
      <c r="AH134" s="384"/>
      <c r="AI134" s="384"/>
      <c r="AJ134" s="384"/>
    </row>
    <row r="135" spans="1:36" customFormat="1" x14ac:dyDescent="0.25">
      <c r="A135" s="384"/>
      <c r="B135" s="384"/>
      <c r="C135" s="384"/>
      <c r="D135" s="384"/>
      <c r="E135" s="384"/>
      <c r="F135" s="384"/>
      <c r="G135" s="384"/>
      <c r="H135" s="384"/>
      <c r="I135" s="384"/>
      <c r="J135" s="384"/>
      <c r="K135" s="384"/>
      <c r="L135" s="384"/>
      <c r="M135" s="384"/>
      <c r="N135" s="384"/>
      <c r="O135" s="384"/>
      <c r="P135" s="384"/>
      <c r="Q135" s="384"/>
      <c r="R135" s="384"/>
      <c r="S135" s="384"/>
      <c r="T135" s="384"/>
      <c r="U135" s="384"/>
      <c r="V135" s="384"/>
      <c r="W135" s="384"/>
      <c r="X135" s="384"/>
      <c r="Y135" s="384"/>
      <c r="Z135" s="384"/>
      <c r="AA135" s="384"/>
      <c r="AB135" s="384"/>
      <c r="AC135" s="384"/>
      <c r="AD135" s="384"/>
      <c r="AE135" s="384"/>
      <c r="AF135" s="384"/>
      <c r="AG135" s="384"/>
      <c r="AH135" s="384"/>
      <c r="AI135" s="384"/>
      <c r="AJ135" s="384"/>
    </row>
    <row r="136" spans="1:36" customFormat="1" x14ac:dyDescent="0.25">
      <c r="A136" s="384"/>
      <c r="B136" s="384"/>
      <c r="C136" s="384"/>
      <c r="D136" s="384"/>
      <c r="E136" s="384"/>
      <c r="F136" s="384"/>
      <c r="G136" s="384"/>
      <c r="H136" s="384"/>
      <c r="I136" s="384"/>
      <c r="J136" s="384"/>
      <c r="K136" s="384"/>
      <c r="L136" s="384"/>
      <c r="M136" s="384"/>
      <c r="N136" s="384"/>
      <c r="O136" s="384"/>
      <c r="P136" s="384"/>
      <c r="Q136" s="384"/>
      <c r="R136" s="384"/>
      <c r="S136" s="384"/>
      <c r="T136" s="384"/>
      <c r="U136" s="384"/>
      <c r="V136" s="384"/>
      <c r="W136" s="384"/>
      <c r="X136" s="384"/>
      <c r="Y136" s="384"/>
      <c r="Z136" s="384"/>
      <c r="AA136" s="384"/>
      <c r="AB136" s="384"/>
      <c r="AC136" s="384"/>
      <c r="AD136" s="384"/>
      <c r="AE136" s="384"/>
      <c r="AF136" s="384"/>
      <c r="AG136" s="384"/>
      <c r="AH136" s="384"/>
      <c r="AI136" s="384"/>
      <c r="AJ136" s="384"/>
    </row>
    <row r="137" spans="1:36" customFormat="1" x14ac:dyDescent="0.25">
      <c r="A137" s="384"/>
      <c r="B137" s="384"/>
      <c r="C137" s="384"/>
      <c r="D137" s="384"/>
      <c r="E137" s="384"/>
      <c r="F137" s="384"/>
      <c r="G137" s="384"/>
      <c r="H137" s="384"/>
      <c r="I137" s="384"/>
      <c r="J137" s="384"/>
      <c r="K137" s="384"/>
      <c r="L137" s="384"/>
      <c r="M137" s="384"/>
      <c r="N137" s="384"/>
      <c r="O137" s="384"/>
      <c r="P137" s="384"/>
      <c r="Q137" s="384"/>
      <c r="R137" s="384"/>
      <c r="S137" s="384"/>
      <c r="T137" s="384"/>
      <c r="U137" s="384"/>
      <c r="V137" s="384"/>
      <c r="W137" s="384"/>
      <c r="X137" s="384"/>
      <c r="Y137" s="384"/>
      <c r="Z137" s="384"/>
      <c r="AA137" s="384"/>
      <c r="AB137" s="384"/>
      <c r="AC137" s="384"/>
      <c r="AD137" s="384"/>
      <c r="AE137" s="384"/>
      <c r="AF137" s="384"/>
      <c r="AG137" s="384"/>
      <c r="AH137" s="384"/>
      <c r="AI137" s="384"/>
      <c r="AJ137" s="384"/>
    </row>
    <row r="138" spans="1:36" customFormat="1" x14ac:dyDescent="0.25">
      <c r="A138" s="384"/>
      <c r="B138" s="384"/>
      <c r="C138" s="384"/>
      <c r="D138" s="384"/>
      <c r="E138" s="384"/>
      <c r="F138" s="384"/>
      <c r="G138" s="384"/>
      <c r="H138" s="384"/>
      <c r="I138" s="384"/>
      <c r="J138" s="384"/>
      <c r="K138" s="384"/>
      <c r="L138" s="384"/>
      <c r="M138" s="384"/>
      <c r="N138" s="384"/>
      <c r="O138" s="384"/>
      <c r="P138" s="384"/>
      <c r="Q138" s="384"/>
      <c r="R138" s="384"/>
      <c r="S138" s="384"/>
      <c r="T138" s="384"/>
      <c r="U138" s="384"/>
      <c r="V138" s="384"/>
      <c r="W138" s="384"/>
      <c r="X138" s="384"/>
      <c r="Y138" s="384"/>
      <c r="Z138" s="384"/>
      <c r="AA138" s="384"/>
      <c r="AB138" s="384"/>
      <c r="AC138" s="384"/>
      <c r="AD138" s="384"/>
      <c r="AE138" s="384"/>
      <c r="AF138" s="384"/>
      <c r="AG138" s="384"/>
      <c r="AH138" s="384"/>
      <c r="AI138" s="384"/>
      <c r="AJ138" s="384"/>
    </row>
    <row r="139" spans="1:36" customFormat="1" x14ac:dyDescent="0.25">
      <c r="A139" s="384"/>
      <c r="B139" s="384"/>
      <c r="C139" s="384"/>
      <c r="D139" s="384"/>
      <c r="E139" s="384"/>
      <c r="F139" s="384"/>
      <c r="G139" s="384"/>
      <c r="H139" s="384"/>
      <c r="I139" s="384"/>
      <c r="J139" s="384"/>
      <c r="K139" s="384"/>
      <c r="L139" s="384"/>
      <c r="M139" s="384"/>
      <c r="N139" s="384"/>
      <c r="O139" s="384"/>
      <c r="P139" s="384"/>
      <c r="Q139" s="384"/>
      <c r="R139" s="384"/>
      <c r="S139" s="384"/>
      <c r="T139" s="384"/>
      <c r="U139" s="384"/>
      <c r="V139" s="384"/>
      <c r="W139" s="384"/>
      <c r="X139" s="384"/>
      <c r="Y139" s="384"/>
      <c r="Z139" s="384"/>
      <c r="AA139" s="384"/>
      <c r="AB139" s="384"/>
      <c r="AC139" s="384"/>
      <c r="AD139" s="384"/>
      <c r="AE139" s="384"/>
      <c r="AF139" s="384"/>
      <c r="AG139" s="384"/>
      <c r="AH139" s="384"/>
      <c r="AI139" s="384"/>
      <c r="AJ139" s="384"/>
    </row>
    <row r="140" spans="1:36" customFormat="1" x14ac:dyDescent="0.25">
      <c r="A140" s="384"/>
      <c r="B140" s="384"/>
      <c r="C140" s="384"/>
      <c r="D140" s="384"/>
      <c r="E140" s="384"/>
      <c r="F140" s="384"/>
      <c r="G140" s="384"/>
      <c r="H140" s="384"/>
      <c r="I140" s="384"/>
      <c r="J140" s="384"/>
      <c r="K140" s="384"/>
      <c r="L140" s="384"/>
      <c r="M140" s="384"/>
      <c r="N140" s="384"/>
      <c r="O140" s="384"/>
      <c r="P140" s="384"/>
      <c r="Q140" s="384"/>
      <c r="R140" s="384"/>
      <c r="S140" s="384"/>
      <c r="T140" s="384"/>
      <c r="U140" s="384"/>
      <c r="V140" s="384"/>
      <c r="W140" s="384"/>
      <c r="X140" s="384"/>
      <c r="Y140" s="384"/>
      <c r="Z140" s="384"/>
      <c r="AA140" s="384"/>
      <c r="AB140" s="384"/>
      <c r="AC140" s="384"/>
      <c r="AD140" s="384"/>
      <c r="AE140" s="384"/>
      <c r="AF140" s="384"/>
      <c r="AG140" s="384"/>
      <c r="AH140" s="384"/>
      <c r="AI140" s="384"/>
      <c r="AJ140" s="384"/>
    </row>
    <row r="141" spans="1:36" customFormat="1" x14ac:dyDescent="0.25">
      <c r="A141" s="384"/>
      <c r="B141" s="384"/>
      <c r="C141" s="384"/>
      <c r="D141" s="384"/>
      <c r="E141" s="384"/>
      <c r="F141" s="384"/>
      <c r="G141" s="384"/>
      <c r="H141" s="384"/>
      <c r="I141" s="384"/>
      <c r="J141" s="384"/>
      <c r="K141" s="384"/>
      <c r="L141" s="384"/>
      <c r="M141" s="384"/>
      <c r="N141" s="384"/>
      <c r="O141" s="384"/>
      <c r="P141" s="384"/>
      <c r="Q141" s="384"/>
      <c r="R141" s="384"/>
      <c r="S141" s="384"/>
      <c r="T141" s="384"/>
      <c r="U141" s="384"/>
      <c r="V141" s="384"/>
      <c r="W141" s="384"/>
      <c r="X141" s="384"/>
      <c r="Y141" s="384"/>
      <c r="Z141" s="384"/>
      <c r="AA141" s="384"/>
      <c r="AB141" s="384"/>
      <c r="AC141" s="384"/>
      <c r="AD141" s="384"/>
      <c r="AE141" s="384"/>
      <c r="AF141" s="384"/>
      <c r="AG141" s="384"/>
      <c r="AH141" s="384"/>
      <c r="AI141" s="384"/>
      <c r="AJ141" s="384"/>
    </row>
    <row r="142" spans="1:36" customFormat="1" x14ac:dyDescent="0.25">
      <c r="A142" s="384"/>
      <c r="B142" s="384"/>
      <c r="C142" s="384"/>
      <c r="D142" s="384"/>
      <c r="E142" s="384"/>
      <c r="F142" s="384"/>
      <c r="G142" s="384"/>
      <c r="H142" s="384"/>
      <c r="I142" s="384"/>
      <c r="J142" s="384"/>
      <c r="K142" s="384"/>
      <c r="L142" s="384"/>
      <c r="M142" s="384"/>
      <c r="N142" s="384"/>
      <c r="O142" s="384"/>
      <c r="P142" s="384"/>
      <c r="Q142" s="384"/>
      <c r="R142" s="384"/>
      <c r="S142" s="384"/>
      <c r="T142" s="384"/>
      <c r="U142" s="384"/>
      <c r="V142" s="384"/>
      <c r="W142" s="384"/>
      <c r="X142" s="384"/>
      <c r="Y142" s="384"/>
      <c r="Z142" s="384"/>
      <c r="AA142" s="384"/>
      <c r="AB142" s="384"/>
      <c r="AC142" s="384"/>
      <c r="AD142" s="384"/>
      <c r="AE142" s="384"/>
      <c r="AF142" s="384"/>
      <c r="AG142" s="384"/>
      <c r="AH142" s="384"/>
      <c r="AI142" s="384"/>
      <c r="AJ142" s="384"/>
    </row>
    <row r="143" spans="1:36" customFormat="1" x14ac:dyDescent="0.25">
      <c r="A143" s="384"/>
      <c r="B143" s="384"/>
      <c r="C143" s="384"/>
      <c r="D143" s="384"/>
      <c r="E143" s="384"/>
      <c r="F143" s="384"/>
      <c r="G143" s="384"/>
      <c r="H143" s="384"/>
      <c r="I143" s="384"/>
      <c r="J143" s="384"/>
      <c r="K143" s="384"/>
      <c r="L143" s="384"/>
      <c r="M143" s="384"/>
      <c r="N143" s="384"/>
      <c r="O143" s="384"/>
      <c r="P143" s="384"/>
      <c r="Q143" s="384"/>
      <c r="R143" s="384"/>
      <c r="S143" s="384"/>
      <c r="T143" s="384"/>
      <c r="U143" s="384"/>
      <c r="V143" s="384"/>
      <c r="W143" s="384"/>
      <c r="X143" s="384"/>
      <c r="Y143" s="384"/>
      <c r="Z143" s="384"/>
      <c r="AA143" s="384"/>
      <c r="AB143" s="384"/>
      <c r="AC143" s="384"/>
      <c r="AD143" s="384"/>
      <c r="AE143" s="384"/>
      <c r="AF143" s="384"/>
      <c r="AG143" s="384"/>
      <c r="AH143" s="384"/>
      <c r="AI143" s="384"/>
      <c r="AJ143" s="384"/>
    </row>
    <row r="144" spans="1:36" customFormat="1" x14ac:dyDescent="0.25">
      <c r="A144" s="384"/>
      <c r="AB144" s="384"/>
      <c r="AC144" s="384"/>
      <c r="AD144" s="384"/>
      <c r="AE144" s="384"/>
      <c r="AF144" s="384"/>
      <c r="AG144" s="384"/>
      <c r="AH144" s="384"/>
      <c r="AI144" s="384"/>
      <c r="AJ144" s="384"/>
    </row>
    <row r="145" spans="1:36" customFormat="1" x14ac:dyDescent="0.25">
      <c r="A145" s="384"/>
      <c r="AB145" s="384"/>
      <c r="AC145" s="384"/>
      <c r="AD145" s="384"/>
      <c r="AE145" s="384"/>
      <c r="AF145" s="384"/>
      <c r="AG145" s="384"/>
      <c r="AH145" s="384"/>
      <c r="AI145" s="384"/>
      <c r="AJ145" s="384"/>
    </row>
    <row r="146" spans="1:36" customFormat="1" x14ac:dyDescent="0.25">
      <c r="A146" s="384"/>
      <c r="AB146" s="384"/>
      <c r="AC146" s="384"/>
      <c r="AD146" s="384"/>
      <c r="AE146" s="384"/>
      <c r="AF146" s="384"/>
      <c r="AG146" s="384"/>
      <c r="AH146" s="384"/>
      <c r="AI146" s="384"/>
      <c r="AJ146" s="384"/>
    </row>
    <row r="147" spans="1:36" customFormat="1" x14ac:dyDescent="0.25">
      <c r="A147" s="384"/>
      <c r="B147" s="229"/>
      <c r="C147" s="229"/>
      <c r="D147" s="229"/>
      <c r="E147" s="229"/>
      <c r="F147" s="229"/>
      <c r="G147" s="229"/>
      <c r="H147" s="229"/>
      <c r="I147" s="229"/>
      <c r="J147" s="229"/>
      <c r="K147" s="229"/>
      <c r="L147" s="229"/>
      <c r="M147" s="229"/>
      <c r="N147" s="229"/>
      <c r="O147" s="229"/>
      <c r="P147" s="229"/>
      <c r="Q147" s="229"/>
      <c r="R147" s="229"/>
      <c r="S147" s="229"/>
      <c r="T147" s="229"/>
      <c r="U147" s="229"/>
      <c r="V147" s="229"/>
      <c r="W147" s="229"/>
      <c r="X147" s="229"/>
      <c r="Y147" s="229"/>
      <c r="Z147" s="229"/>
      <c r="AA147" s="229"/>
      <c r="AB147" s="384"/>
      <c r="AC147" s="384"/>
      <c r="AD147" s="384"/>
      <c r="AE147" s="384"/>
      <c r="AF147" s="384"/>
      <c r="AG147" s="384"/>
      <c r="AH147" s="384"/>
      <c r="AI147" s="384"/>
      <c r="AJ147" s="384"/>
    </row>
    <row r="148" spans="1:36" customFormat="1" x14ac:dyDescent="0.25">
      <c r="A148" s="384"/>
      <c r="B148" s="229"/>
      <c r="C148" s="229"/>
      <c r="D148" s="229"/>
      <c r="E148" s="229"/>
      <c r="F148" s="229"/>
      <c r="G148" s="229"/>
      <c r="H148" s="229"/>
      <c r="I148" s="229"/>
      <c r="J148" s="229"/>
      <c r="K148" s="229"/>
      <c r="L148" s="229"/>
      <c r="M148" s="229"/>
      <c r="N148" s="229"/>
      <c r="O148" s="229"/>
      <c r="P148" s="229"/>
      <c r="Q148" s="229"/>
      <c r="R148" s="229"/>
      <c r="S148" s="229"/>
      <c r="T148" s="229"/>
      <c r="U148" s="229"/>
      <c r="V148" s="229"/>
      <c r="W148" s="229"/>
      <c r="X148" s="229"/>
      <c r="Y148" s="229"/>
      <c r="Z148" s="229"/>
      <c r="AA148" s="229"/>
      <c r="AB148" s="384"/>
      <c r="AC148" s="384"/>
      <c r="AD148" s="384"/>
      <c r="AE148" s="384"/>
      <c r="AF148" s="384"/>
      <c r="AG148" s="384"/>
      <c r="AH148" s="384"/>
      <c r="AI148" s="384"/>
      <c r="AJ148" s="384"/>
    </row>
    <row r="149" spans="1:36" customFormat="1" x14ac:dyDescent="0.25">
      <c r="B149" s="229"/>
      <c r="C149" s="229"/>
      <c r="D149" s="229"/>
      <c r="E149" s="229"/>
      <c r="F149" s="229"/>
      <c r="G149" s="229"/>
      <c r="H149" s="229"/>
      <c r="I149" s="229"/>
      <c r="J149" s="229"/>
      <c r="K149" s="229"/>
      <c r="L149" s="229"/>
      <c r="M149" s="229"/>
      <c r="N149" s="229"/>
      <c r="O149" s="229"/>
      <c r="P149" s="229"/>
      <c r="Q149" s="229"/>
      <c r="R149" s="229"/>
      <c r="S149" s="229"/>
      <c r="T149" s="229"/>
      <c r="U149" s="229"/>
      <c r="V149" s="229"/>
      <c r="W149" s="229"/>
      <c r="X149" s="229"/>
      <c r="Y149" s="229"/>
      <c r="Z149" s="229"/>
      <c r="AA149" s="229"/>
    </row>
    <row r="150" spans="1:36" customFormat="1" x14ac:dyDescent="0.25">
      <c r="B150" s="229"/>
      <c r="C150" s="229"/>
      <c r="D150" s="229"/>
      <c r="E150" s="229"/>
      <c r="F150" s="229"/>
      <c r="G150" s="229"/>
      <c r="H150" s="229"/>
      <c r="I150" s="229"/>
      <c r="J150" s="229"/>
      <c r="K150" s="229"/>
      <c r="L150" s="229"/>
      <c r="M150" s="229"/>
      <c r="N150" s="229"/>
      <c r="O150" s="229"/>
      <c r="P150" s="229"/>
      <c r="Q150" s="229"/>
      <c r="R150" s="229"/>
      <c r="S150" s="229"/>
      <c r="T150" s="229"/>
      <c r="U150" s="229"/>
      <c r="V150" s="229"/>
      <c r="W150" s="229"/>
      <c r="X150" s="229"/>
      <c r="Y150" s="229"/>
      <c r="Z150" s="229"/>
      <c r="AA150" s="229"/>
    </row>
    <row r="151" spans="1:36" customFormat="1" x14ac:dyDescent="0.25">
      <c r="B151" s="229"/>
      <c r="C151" s="229"/>
      <c r="D151" s="229"/>
      <c r="E151" s="229"/>
      <c r="F151" s="229"/>
      <c r="G151" s="229"/>
      <c r="H151" s="229"/>
      <c r="I151" s="229"/>
      <c r="J151" s="229"/>
      <c r="K151" s="229"/>
      <c r="L151" s="229"/>
      <c r="M151" s="229"/>
      <c r="N151" s="229"/>
      <c r="O151" s="229"/>
      <c r="P151" s="229"/>
      <c r="Q151" s="229"/>
      <c r="R151" s="229"/>
      <c r="S151" s="229"/>
      <c r="T151" s="229"/>
      <c r="U151" s="229"/>
      <c r="V151" s="229"/>
      <c r="W151" s="229"/>
      <c r="X151" s="229"/>
      <c r="Y151" s="229"/>
      <c r="Z151" s="229"/>
      <c r="AA151" s="229"/>
    </row>
  </sheetData>
  <sheetProtection algorithmName="SHA-512" hashValue="WMSxiALaKXnSwtUFFITI8QULSCcu7TVrWWbb7vL0LzwJugQDG1rPoko3qXWg6V+Jx2DJZtCBpn6OyB3dpu+vbg==" saltValue="w2Dpq8U0w5NiLO9MtRhHmw==" spinCount="100000" sheet="1" objects="1" scenarios="1"/>
  <protectedRanges>
    <protectedRange sqref="F61:F62 I68:I76 J68 J70 J72 J76 U61 U64:U65 U69 U72:U73 U76 Z62 Z65 Z68 Z71" name="Environmental"/>
    <protectedRange sqref="D34:D35 D38 D39 D46:D50 I46:I50 I41 I38 I34:I35" name="MarketContext"/>
    <protectedRange sqref="E6:F11 J6:J7 J11 O6 O11 U11 D18:F22 D25:D27 I25:I27 I18:L22 O18:Q22 O25:O27 T25:T27 T18:W22" name="HousingDevelopment"/>
  </protectedRanges>
  <mergeCells count="2">
    <mergeCell ref="D39:E40"/>
    <mergeCell ref="C12:F13"/>
  </mergeCells>
  <conditionalFormatting sqref="C41:E41">
    <cfRule type="expression" dxfId="11" priority="16">
      <formula>$C$41&lt;&gt;""</formula>
    </cfRule>
  </conditionalFormatting>
  <conditionalFormatting sqref="C12:F13">
    <cfRule type="expression" dxfId="10" priority="4">
      <formula>$C$12&lt;&gt;""</formula>
    </cfRule>
  </conditionalFormatting>
  <conditionalFormatting sqref="D18:D23">
    <cfRule type="expression" dxfId="9" priority="18">
      <formula>D18&lt;F18</formula>
    </cfRule>
  </conditionalFormatting>
  <conditionalFormatting sqref="D35 D46:D50 I46:I50">
    <cfRule type="expression" dxfId="8" priority="13">
      <formula>$D$34="No"</formula>
    </cfRule>
  </conditionalFormatting>
  <conditionalFormatting sqref="D35">
    <cfRule type="expression" dxfId="7" priority="1">
      <formula>$D$34="No"</formula>
    </cfRule>
  </conditionalFormatting>
  <conditionalFormatting sqref="F18:F23">
    <cfRule type="expression" dxfId="6" priority="19">
      <formula>F18&gt;D18</formula>
    </cfRule>
  </conditionalFormatting>
  <conditionalFormatting sqref="I18:I23">
    <cfRule type="expression" dxfId="5" priority="10">
      <formula>I18&lt;L18</formula>
    </cfRule>
  </conditionalFormatting>
  <conditionalFormatting sqref="L18:L23">
    <cfRule type="expression" dxfId="4" priority="7">
      <formula>L18&gt;I18</formula>
    </cfRule>
  </conditionalFormatting>
  <conditionalFormatting sqref="O18:O23">
    <cfRule type="expression" dxfId="3" priority="9">
      <formula>O18&lt;Q18</formula>
    </cfRule>
  </conditionalFormatting>
  <conditionalFormatting sqref="Q18:Q23">
    <cfRule type="expression" dxfId="2" priority="6">
      <formula>Q18&gt;O18</formula>
    </cfRule>
  </conditionalFormatting>
  <conditionalFormatting sqref="T18:T23">
    <cfRule type="expression" dxfId="1" priority="8">
      <formula>T18&lt;W18</formula>
    </cfRule>
  </conditionalFormatting>
  <conditionalFormatting sqref="W18:W23">
    <cfRule type="expression" dxfId="0" priority="5">
      <formula>W18&gt;T18</formula>
    </cfRule>
  </conditionalFormatting>
  <dataValidations count="18">
    <dataValidation type="decimal" allowBlank="1" showInputMessage="1" showErrorMessage="1" errorTitle="Not a number" error="Please enter a valid number" prompt="Just a quick test" sqref="J32" xr:uid="{00000000-0002-0000-0100-000000000000}">
      <formula1>0</formula1>
      <formula2>100</formula2>
    </dataValidation>
    <dataValidation type="list" allowBlank="1" showInputMessage="1" showErrorMessage="1" promptTitle="Significant Urban Areas (SUA)" prompt="SUAs are used to link environmental benefits to population density. SUAs are arranged alphabetically. If your SUA is not listed, select 'Not in any significant urban area (state)'." sqref="D39" xr:uid="{00000000-0002-0000-0100-000001000000}">
      <formula1>INDIRECT(D38)</formula1>
    </dataValidation>
    <dataValidation type="decimal" operator="greaterThanOrEqual" allowBlank="1" showInputMessage="1" showErrorMessage="1" errorTitle="Not a number" error="A number at least 0 is required for this input." sqref="U6" xr:uid="{00000000-0002-0000-0100-000002000000}">
      <formula1>0</formula1>
    </dataValidation>
    <dataValidation type="custom" allowBlank="1" showInputMessage="1" showErrorMessage="1" errorTitle="Too many one-parent dwellings" error="The number of one parent dwellings with the selected number of bedrooms cannot exceed the total number projected to be constructed." sqref="L18 W18" xr:uid="{00000000-0002-0000-0100-000003000000}">
      <formula1>L18&lt;=I18</formula1>
    </dataValidation>
    <dataValidation type="custom" allowBlank="1" showInputMessage="1" showErrorMessage="1" errorTitle="Too many one-parent dwellings" error="The number of one parent dwellings with the selected number of bedrooms cannot exceed the total number projected to be constructed" sqref="L19:L23 W19:W23" xr:uid="{00000000-0002-0000-0100-000004000000}">
      <formula1>L19&lt;=I19</formula1>
    </dataValidation>
    <dataValidation type="whole" allowBlank="1" showInputMessage="1" showErrorMessage="1" errorTitle="Whole number required" error="A whole number is required to be input for this cell." sqref="I18:I23 D18:D23 O18:O23 T18:T23" xr:uid="{00000000-0002-0000-0100-000005000000}">
      <formula1>0</formula1>
      <formula2>100000</formula2>
    </dataValidation>
    <dataValidation type="whole" allowBlank="1" showInputMessage="1" showErrorMessage="1" errorTitle="Incorrect Number Entered" error="A whole number between 0 and 366 must be entered." sqref="Z68" xr:uid="{00000000-0002-0000-0100-000006000000}">
      <formula1>0</formula1>
      <formula2>366</formula2>
    </dataValidation>
    <dataValidation type="decimal" allowBlank="1" showInputMessage="1" showErrorMessage="1" errorTitle="Not a number" error="A valid number must be entered" sqref="Z62" xr:uid="{00000000-0002-0000-0100-000007000000}">
      <formula1>0</formula1>
      <formula2>100000</formula2>
    </dataValidation>
    <dataValidation type="decimal" operator="greaterThan" allowBlank="1" showInputMessage="1" showErrorMessage="1" errorTitle="Valid number required" error="A valid exchange rate greater than 0 is required." sqref="Z65" xr:uid="{00000000-0002-0000-0100-000008000000}">
      <formula1>0</formula1>
    </dataValidation>
    <dataValidation type="decimal" operator="greaterThan" allowBlank="1" showInputMessage="1" showErrorMessage="1" errorTitle="Valid number required" error="A valid electricity price per kwh is required." sqref="Z71" xr:uid="{00000000-0002-0000-0100-000009000000}">
      <formula1>0</formula1>
    </dataValidation>
    <dataValidation type="whole" operator="greaterThanOrEqual" allowBlank="1" showInputMessage="1" showErrorMessage="1" errorTitle="Whole number required" error="Only whole numbers at least 0 are allowed." sqref="U76 U69:U70 U72:U73" xr:uid="{00000000-0002-0000-0100-00000A000000}">
      <formula1>0</formula1>
    </dataValidation>
    <dataValidation type="whole" operator="greaterThanOrEqual" allowBlank="1" showInputMessage="1" showErrorMessage="1" errorTitle="Whole number required" error="A whole number at least 0 is required" sqref="U65:U66" xr:uid="{00000000-0002-0000-0100-00000B000000}">
      <formula1>0</formula1>
    </dataValidation>
    <dataValidation type="decimal" allowBlank="1" showInputMessage="1" showErrorMessage="1" errorTitle="Correct fraction required" error="A fraction between 0% and 100% is required. For example, enter 10% either as 0.1 or 10%." sqref="I41 O6 I34:I35" xr:uid="{00000000-0002-0000-0100-00000C000000}">
      <formula1>0</formula1>
      <formula2>1</formula2>
    </dataValidation>
    <dataValidation type="decimal" operator="greaterThanOrEqual" allowBlank="1" showInputMessage="1" showErrorMessage="1" errorTitle="Number required" error="A number is required for this input" sqref="U11" xr:uid="{00000000-0002-0000-0100-00000D000000}">
      <formula1>0</formula1>
    </dataValidation>
    <dataValidation type="custom" allowBlank="1" showInputMessage="1" showErrorMessage="1" errorTitle="Too many one-parent dwellings" error="The number of one parent dwellings with the selected number of bedrooms cannot exceed the total number projected to be constructed." sqref="F18 Q18" xr:uid="{00000000-0002-0000-0100-00000E000000}">
      <formula1>F18&lt;=D18</formula1>
    </dataValidation>
    <dataValidation type="custom" allowBlank="1" showInputMessage="1" showErrorMessage="1" errorTitle="Too many one-parent dwellings" error="The number of one parent dwellings with the selected number of bedrooms cannot exceed the total number projected to be constructed" sqref="F19:F23 Q19:Q23" xr:uid="{00000000-0002-0000-0100-00000F000000}">
      <formula1>F19&lt;=D19</formula1>
    </dataValidation>
    <dataValidation type="whole" operator="greaterThanOrEqual" allowBlank="1" showInputMessage="1" showErrorMessage="1" errorTitle="Whole number required" error="A whole number at least 0 is required for this input." sqref="E6:E11" xr:uid="{00000000-0002-0000-0100-000010000000}">
      <formula1>0</formula1>
    </dataValidation>
    <dataValidation allowBlank="1" showErrorMessage="1" promptTitle="NatHERS Star Band" sqref="U12" xr:uid="{BAB92C54-CB09-4404-96BB-6644717B3FD0}"/>
  </dataValidations>
  <pageMargins left="0.7" right="0.7" top="0.75" bottom="0.75" header="0.3" footer="0.3"/>
  <pageSetup paperSize="9" orientation="portrait" horizontalDpi="1200" verticalDpi="1200"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promptTitle="Market valuation" prompt="Select 'Yes' here if your representative market rents are based on actual market valuation / assessment of the rental value of these properties - including any park and transport infrastructure - are valued at in the._x000a__x000a_Select 'No' otherwise." xr:uid="{00000000-0002-0000-0100-000011000000}">
          <x14:formula1>
            <xm:f>IF($D$34="Yes",'Look-ups'!$C$3:$C$4,"")</xm:f>
          </x14:formula1>
          <xm:sqref>D35</xm:sqref>
        </x14:dataValidation>
        <x14:dataValidation type="list" allowBlank="1" showInputMessage="1" showErrorMessage="1" promptTitle="Wrap-around services" prompt="Indicate here whether wrap around service is provided to assist sustaining tenancies for people experiencing homelessness. _x000a__x000a_Note: dedicated wrap-around service provision has been calculated to add $5,000-7,000 in operational cost, per person, per annum." xr:uid="{00000000-0002-0000-0100-000012000000}">
          <x14:formula1>
            <xm:f>'Look-ups'!$C$3:$C$4</xm:f>
          </x14:formula1>
          <xm:sqref>J6</xm:sqref>
        </x14:dataValidation>
        <x14:dataValidation type="list" allowBlank="1" showInputMessage="1" showErrorMessage="1" xr:uid="{00000000-0002-0000-0100-000013000000}">
          <x14:formula1>
            <xm:f>'Look-ups'!$E$3:$E$10</xm:f>
          </x14:formula1>
          <xm:sqref>D38</xm:sqref>
        </x14:dataValidation>
        <x14:dataValidation type="list" allowBlank="1" showInputMessage="1" showErrorMessage="1" promptTitle="Base year of calculation" prompt="Please enter here the first year that the development will be operational (fully tenanted, allowing for normal vacancy rate)." xr:uid="{00000000-0002-0000-0100-000014000000}">
          <x14:formula1>
            <xm:f>'Look-ups'!$A$15:$A$43</xm:f>
          </x14:formula1>
          <xm:sqref>I38</xm:sqref>
        </x14:dataValidation>
        <x14:dataValidation type="list" allowBlank="1" showInputMessage="1" showErrorMessage="1" promptTitle="Own rental information" prompt="Select 'Yes' here if you have representative market rents that you want to base the calculations on._x000a__x000a_Select 'No' here if you want to use more generic rental information provided by the calculator." xr:uid="{00000000-0002-0000-0100-000015000000}">
          <x14:formula1>
            <xm:f>'Look-ups'!$C$3:$C$4</xm:f>
          </x14:formula1>
          <xm:sqref>D34</xm:sqref>
        </x14:dataValidation>
        <x14:dataValidation type="list" allowBlank="1" showInputMessage="1" showErrorMessage="1" promptTitle="NatHERS Star Band" prompt="Select the NatHERS Star Band that characterises the build energy efficiency" xr:uid="{00000000-0002-0000-0100-000016000000}">
          <x14:formula1>
            <xm:f>'Look-ups'!$D$15:$D$34</xm:f>
          </x14:formula1>
          <xm:sqref>V12</xm:sqref>
        </x14:dataValidation>
        <x14:dataValidation type="list" allowBlank="1" showInputMessage="1" showErrorMessage="1" promptTitle="NatHERS setting" prompt="Select the NatHERS Star Band that characterises the build energy efficiency" xr:uid="{00000000-0002-0000-0100-000017000000}">
          <x14:formula1>
            <xm:f>'Look-ups'!$D$16:$D$34</xm:f>
          </x14:formula1>
          <xm:sqref>O25 I25 T25 D25</xm:sqref>
        </x14:dataValidation>
        <x14:dataValidation type="list" allowBlank="1" showInputMessage="1" showErrorMessage="1" promptTitle="Energy rating: heating" prompt="Select the star level that best describes the typical dwelling in this category._x000a__x000a_Assumes a 5 star energy rating if left blank." xr:uid="{00000000-0002-0000-0100-000018000000}">
          <x14:formula1>
            <xm:f>'Look-ups'!$A$144:$A$164</xm:f>
          </x14:formula1>
          <xm:sqref>O27 I27 T27 D27</xm:sqref>
        </x14:dataValidation>
        <x14:dataValidation type="list" allowBlank="1" showInputMessage="1" showErrorMessage="1" promptTitle="Wrap-around other homeless" prompt="Indicate here whether wrap around service is provided to assist sustaining tenancies for people experiencing homelessness. _x000a__x000a_Note: dedicated wrap-around service provision has been calculated to add $xxxx-$xxxx in operational cost, per person, per annum." xr:uid="{00000000-0002-0000-0100-000019000000}">
          <x14:formula1>
            <xm:f>'Look-ups'!$C$3:$C$4</xm:f>
          </x14:formula1>
          <xm:sqref>J7:J9</xm:sqref>
        </x14:dataValidation>
        <x14:dataValidation type="list" allowBlank="1" showInputMessage="1" showErrorMessage="1" promptTitle="Energy rating: cooling" prompt="Select the star level that best describes the typical dwelling in this category._x000a__x000a_Assumes a 5 star energy rating if left blank." xr:uid="{57CA5FC4-9D6D-43F2-ADE7-7796D95049C1}">
          <x14:formula1>
            <xm:f>'Look-ups'!$A$144:$A$164</xm:f>
          </x14:formula1>
          <xm:sqref>O26 I26 T26 D26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H80"/>
  <sheetViews>
    <sheetView showGridLines="0" zoomScaleNormal="100" workbookViewId="0"/>
  </sheetViews>
  <sheetFormatPr defaultColWidth="8.85546875" defaultRowHeight="15" x14ac:dyDescent="0.25"/>
  <sheetData>
    <row r="1" spans="1:34" x14ac:dyDescent="0.25">
      <c r="A1" s="382"/>
      <c r="B1" s="382"/>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2"/>
      <c r="AE1" s="382"/>
      <c r="AF1" s="382"/>
      <c r="AG1" s="382"/>
      <c r="AH1" s="382"/>
    </row>
    <row r="2" spans="1:34" x14ac:dyDescent="0.25">
      <c r="A2" s="382"/>
      <c r="B2" s="382"/>
      <c r="C2" s="382"/>
      <c r="D2" s="382"/>
      <c r="E2" s="382"/>
      <c r="F2" s="382"/>
      <c r="G2" s="382"/>
      <c r="H2" s="382"/>
      <c r="I2" s="382"/>
      <c r="J2" s="382"/>
      <c r="K2" s="382"/>
      <c r="L2" s="382"/>
      <c r="M2" s="382"/>
      <c r="N2" s="382"/>
      <c r="O2" s="382"/>
      <c r="P2" s="382"/>
      <c r="Q2" s="382"/>
      <c r="R2" s="382"/>
      <c r="S2" s="382"/>
      <c r="T2" s="382"/>
      <c r="U2" s="382"/>
      <c r="V2" s="382"/>
      <c r="W2" s="382"/>
      <c r="X2" s="382"/>
      <c r="Y2" s="382"/>
      <c r="Z2" s="382"/>
      <c r="AA2" s="382"/>
      <c r="AB2" s="382"/>
      <c r="AC2" s="382"/>
      <c r="AD2" s="382"/>
      <c r="AE2" s="382"/>
      <c r="AF2" s="382"/>
      <c r="AG2" s="382"/>
      <c r="AH2" s="382"/>
    </row>
    <row r="3" spans="1:34" x14ac:dyDescent="0.25">
      <c r="A3" s="382"/>
      <c r="B3" s="382"/>
      <c r="C3" s="382"/>
      <c r="D3" s="382"/>
      <c r="E3" s="382"/>
      <c r="F3" s="382"/>
      <c r="G3" s="382"/>
      <c r="H3" s="382"/>
      <c r="I3" s="382"/>
      <c r="J3" s="382"/>
      <c r="K3" s="382"/>
      <c r="L3" s="382"/>
      <c r="M3" s="382"/>
      <c r="N3" s="382"/>
      <c r="O3" s="382"/>
      <c r="P3" s="382"/>
      <c r="Q3" s="382"/>
      <c r="R3" s="382"/>
      <c r="S3" s="382"/>
      <c r="T3" s="382"/>
      <c r="U3" s="382"/>
      <c r="V3" s="382"/>
      <c r="W3" s="382"/>
      <c r="X3" s="382"/>
      <c r="Y3" s="382"/>
      <c r="Z3" s="382"/>
      <c r="AA3" s="382"/>
      <c r="AB3" s="382"/>
      <c r="AC3" s="382"/>
      <c r="AD3" s="382"/>
      <c r="AE3" s="382"/>
      <c r="AF3" s="382"/>
      <c r="AG3" s="382"/>
      <c r="AH3" s="382"/>
    </row>
    <row r="4" spans="1:34" x14ac:dyDescent="0.25">
      <c r="A4" s="382"/>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row>
    <row r="5" spans="1:34" x14ac:dyDescent="0.25">
      <c r="A5" s="382"/>
      <c r="B5" s="382"/>
      <c r="C5" s="382"/>
      <c r="D5" s="382"/>
      <c r="E5" s="382"/>
      <c r="F5" s="382"/>
      <c r="G5" s="382"/>
      <c r="H5" s="382"/>
      <c r="I5" s="382"/>
      <c r="J5" s="382"/>
      <c r="K5" s="382"/>
      <c r="L5" s="382"/>
      <c r="M5" s="382"/>
      <c r="N5" s="382"/>
      <c r="O5" s="382"/>
      <c r="P5" s="382"/>
      <c r="Q5" s="382"/>
      <c r="R5" s="382"/>
      <c r="S5" s="382"/>
      <c r="T5" s="382"/>
      <c r="U5" s="382"/>
      <c r="V5" s="382"/>
      <c r="W5" s="382"/>
      <c r="X5" s="382"/>
      <c r="Y5" s="382"/>
      <c r="Z5" s="382"/>
      <c r="AA5" s="382"/>
      <c r="AB5" s="382"/>
      <c r="AC5" s="382"/>
      <c r="AD5" s="382"/>
      <c r="AE5" s="382"/>
      <c r="AF5" s="382"/>
      <c r="AG5" s="382"/>
      <c r="AH5" s="382"/>
    </row>
    <row r="6" spans="1:34" x14ac:dyDescent="0.25">
      <c r="A6" s="382"/>
      <c r="B6" s="382"/>
      <c r="C6" s="382"/>
      <c r="D6" s="382"/>
      <c r="E6" s="382"/>
      <c r="F6" s="382"/>
      <c r="G6" s="382"/>
      <c r="H6" s="382"/>
      <c r="I6" s="382"/>
      <c r="J6" s="382"/>
      <c r="K6" s="382"/>
      <c r="L6" s="382"/>
      <c r="M6" s="382"/>
      <c r="N6" s="382"/>
      <c r="O6" s="382"/>
      <c r="P6" s="382"/>
      <c r="Q6" s="382"/>
      <c r="R6" s="382"/>
      <c r="S6" s="382"/>
      <c r="T6" s="382"/>
      <c r="U6" s="382"/>
      <c r="V6" s="382"/>
      <c r="W6" s="382"/>
      <c r="X6" s="382"/>
      <c r="Y6" s="382"/>
      <c r="Z6" s="382"/>
      <c r="AA6" s="382"/>
      <c r="AB6" s="382"/>
      <c r="AC6" s="382"/>
      <c r="AD6" s="382"/>
      <c r="AE6" s="382"/>
      <c r="AF6" s="382"/>
      <c r="AG6" s="382"/>
      <c r="AH6" s="382"/>
    </row>
    <row r="7" spans="1:34" x14ac:dyDescent="0.25">
      <c r="A7" s="382"/>
      <c r="B7" s="382"/>
      <c r="C7" s="382"/>
      <c r="D7" s="382"/>
      <c r="E7" s="382"/>
      <c r="F7" s="382"/>
      <c r="G7" s="382"/>
      <c r="H7" s="382"/>
      <c r="I7" s="382"/>
      <c r="J7" s="382"/>
      <c r="K7" s="382"/>
      <c r="L7" s="382"/>
      <c r="M7" s="382"/>
      <c r="N7" s="382"/>
      <c r="O7" s="382"/>
      <c r="P7" s="382"/>
      <c r="Q7" s="382"/>
      <c r="R7" s="382"/>
      <c r="S7" s="382"/>
      <c r="T7" s="382"/>
      <c r="U7" s="382"/>
      <c r="V7" s="382"/>
      <c r="W7" s="382"/>
      <c r="X7" s="382"/>
      <c r="Y7" s="382"/>
      <c r="Z7" s="382"/>
      <c r="AA7" s="382"/>
      <c r="AB7" s="382"/>
      <c r="AC7" s="382"/>
      <c r="AD7" s="382"/>
      <c r="AE7" s="382"/>
      <c r="AF7" s="382"/>
      <c r="AG7" s="382"/>
      <c r="AH7" s="382"/>
    </row>
    <row r="8" spans="1:34" x14ac:dyDescent="0.25">
      <c r="A8" s="382"/>
      <c r="B8" s="382"/>
      <c r="C8" s="382"/>
      <c r="D8" s="382"/>
      <c r="E8" s="382"/>
      <c r="F8" s="382"/>
      <c r="G8" s="382"/>
      <c r="H8" s="382"/>
      <c r="I8" s="382"/>
      <c r="J8" s="382"/>
      <c r="K8" s="382"/>
      <c r="L8" s="382"/>
      <c r="M8" s="382"/>
      <c r="N8" s="382"/>
      <c r="O8" s="382"/>
      <c r="P8" s="382"/>
      <c r="Q8" s="382"/>
      <c r="R8" s="382"/>
      <c r="S8" s="382"/>
      <c r="T8" s="382"/>
      <c r="U8" s="382"/>
      <c r="V8" s="382"/>
      <c r="W8" s="382"/>
      <c r="X8" s="382"/>
      <c r="Y8" s="382"/>
      <c r="Z8" s="382"/>
      <c r="AA8" s="382"/>
      <c r="AB8" s="382"/>
      <c r="AC8" s="382"/>
      <c r="AD8" s="382"/>
      <c r="AE8" s="382"/>
      <c r="AF8" s="382"/>
      <c r="AG8" s="382"/>
      <c r="AH8" s="382"/>
    </row>
    <row r="9" spans="1:34" x14ac:dyDescent="0.25">
      <c r="A9" s="382"/>
      <c r="B9" s="382"/>
      <c r="C9" s="382"/>
      <c r="D9" s="382"/>
      <c r="E9" s="382"/>
      <c r="F9" s="382"/>
      <c r="G9" s="382"/>
      <c r="H9" s="382"/>
      <c r="I9" s="382"/>
      <c r="J9" s="382"/>
      <c r="K9" s="382"/>
      <c r="L9" s="382"/>
      <c r="M9" s="382"/>
      <c r="N9" s="382"/>
      <c r="O9" s="382"/>
      <c r="P9" s="382"/>
      <c r="Q9" s="382"/>
      <c r="R9" s="382"/>
      <c r="S9" s="382"/>
      <c r="T9" s="382"/>
      <c r="U9" s="382"/>
      <c r="V9" s="382"/>
      <c r="W9" s="382"/>
      <c r="X9" s="382"/>
      <c r="Y9" s="382"/>
      <c r="Z9" s="382"/>
      <c r="AA9" s="382"/>
      <c r="AB9" s="382"/>
      <c r="AC9" s="382"/>
      <c r="AD9" s="382"/>
      <c r="AE9" s="382"/>
      <c r="AF9" s="382"/>
      <c r="AG9" s="382"/>
      <c r="AH9" s="382"/>
    </row>
    <row r="10" spans="1:34" x14ac:dyDescent="0.25">
      <c r="A10" s="382"/>
      <c r="B10" s="382"/>
      <c r="C10" s="382"/>
      <c r="D10" s="382"/>
      <c r="E10" s="382"/>
      <c r="F10" s="382"/>
      <c r="G10" s="382"/>
      <c r="H10" s="382"/>
      <c r="I10" s="382"/>
      <c r="J10" s="382"/>
      <c r="K10" s="382"/>
      <c r="L10" s="382"/>
      <c r="M10" s="382"/>
      <c r="N10" s="382"/>
      <c r="O10" s="382"/>
      <c r="P10" s="382"/>
      <c r="Q10" s="382"/>
      <c r="R10" s="382"/>
      <c r="S10" s="382"/>
      <c r="T10" s="382"/>
      <c r="U10" s="382"/>
      <c r="V10" s="382"/>
      <c r="W10" s="382"/>
      <c r="X10" s="382"/>
      <c r="Y10" s="382"/>
      <c r="Z10" s="382"/>
      <c r="AA10" s="382"/>
      <c r="AB10" s="382"/>
      <c r="AC10" s="382"/>
      <c r="AD10" s="382"/>
      <c r="AE10" s="382"/>
      <c r="AF10" s="382"/>
      <c r="AG10" s="382"/>
      <c r="AH10" s="382"/>
    </row>
    <row r="11" spans="1:34" x14ac:dyDescent="0.25">
      <c r="A11" s="382"/>
      <c r="B11" s="382"/>
      <c r="C11" s="382"/>
      <c r="D11" s="382"/>
      <c r="E11" s="382"/>
      <c r="F11" s="382"/>
      <c r="G11" s="382"/>
      <c r="H11" s="382"/>
      <c r="I11" s="382"/>
      <c r="J11" s="382"/>
      <c r="K11" s="382"/>
      <c r="L11" s="382"/>
      <c r="M11" s="382"/>
      <c r="N11" s="382"/>
      <c r="O11" s="382"/>
      <c r="P11" s="382"/>
      <c r="Q11" s="382"/>
      <c r="R11" s="382"/>
      <c r="S11" s="382"/>
      <c r="T11" s="382"/>
      <c r="U11" s="382"/>
      <c r="V11" s="382"/>
      <c r="W11" s="382"/>
      <c r="X11" s="382"/>
      <c r="Y11" s="382"/>
      <c r="Z11" s="382"/>
      <c r="AA11" s="382"/>
      <c r="AB11" s="382"/>
      <c r="AC11" s="382"/>
      <c r="AD11" s="382"/>
      <c r="AE11" s="382"/>
      <c r="AF11" s="382"/>
      <c r="AG11" s="382"/>
      <c r="AH11" s="382"/>
    </row>
    <row r="12" spans="1:34" x14ac:dyDescent="0.25">
      <c r="A12" s="382"/>
      <c r="B12" s="382"/>
      <c r="C12" s="382"/>
      <c r="D12" s="382"/>
      <c r="E12" s="382"/>
      <c r="F12" s="382"/>
      <c r="G12" s="382"/>
      <c r="H12" s="382"/>
      <c r="I12" s="382"/>
      <c r="J12" s="382"/>
      <c r="K12" s="382"/>
      <c r="L12" s="382"/>
      <c r="M12" s="382"/>
      <c r="N12" s="382"/>
      <c r="O12" s="382"/>
      <c r="P12" s="382"/>
      <c r="Q12" s="382"/>
      <c r="R12" s="382"/>
      <c r="S12" s="382"/>
      <c r="T12" s="382"/>
      <c r="U12" s="382"/>
      <c r="V12" s="382"/>
      <c r="W12" s="382"/>
      <c r="X12" s="382"/>
      <c r="Y12" s="382"/>
      <c r="Z12" s="382"/>
      <c r="AA12" s="382"/>
      <c r="AB12" s="382"/>
      <c r="AC12" s="382"/>
      <c r="AD12" s="382"/>
      <c r="AE12" s="382"/>
      <c r="AF12" s="382"/>
      <c r="AG12" s="382"/>
      <c r="AH12" s="382"/>
    </row>
    <row r="13" spans="1:34" x14ac:dyDescent="0.25">
      <c r="A13" s="382"/>
      <c r="B13" s="382"/>
      <c r="C13" s="382"/>
      <c r="D13" s="382"/>
      <c r="E13" s="382"/>
      <c r="F13" s="382"/>
      <c r="G13" s="382"/>
      <c r="H13" s="382"/>
      <c r="I13" s="382"/>
      <c r="J13" s="382"/>
      <c r="K13" s="382"/>
      <c r="L13" s="382"/>
      <c r="M13" s="382"/>
      <c r="N13" s="382"/>
      <c r="O13" s="382"/>
      <c r="P13" s="382"/>
      <c r="Q13" s="382"/>
      <c r="R13" s="382"/>
      <c r="S13" s="382"/>
      <c r="T13" s="382"/>
      <c r="U13" s="382"/>
      <c r="V13" s="382"/>
      <c r="W13" s="382"/>
      <c r="X13" s="382"/>
      <c r="Y13" s="382"/>
      <c r="Z13" s="382"/>
      <c r="AA13" s="382"/>
      <c r="AB13" s="382"/>
      <c r="AC13" s="382"/>
      <c r="AD13" s="382"/>
      <c r="AE13" s="382"/>
      <c r="AF13" s="382"/>
      <c r="AG13" s="382"/>
      <c r="AH13" s="382"/>
    </row>
    <row r="14" spans="1:34" x14ac:dyDescent="0.25">
      <c r="A14" s="382"/>
      <c r="B14" s="382"/>
      <c r="C14" s="382"/>
      <c r="D14" s="382"/>
      <c r="E14" s="382"/>
      <c r="F14" s="382"/>
      <c r="G14" s="382"/>
      <c r="H14" s="382"/>
      <c r="I14" s="382"/>
      <c r="J14" s="382"/>
      <c r="K14" s="382"/>
      <c r="L14" s="382"/>
      <c r="M14" s="382"/>
      <c r="N14" s="382"/>
      <c r="O14" s="382"/>
      <c r="P14" s="382"/>
      <c r="Q14" s="382"/>
      <c r="R14" s="382"/>
      <c r="S14" s="382"/>
      <c r="T14" s="382"/>
      <c r="U14" s="382"/>
      <c r="V14" s="382"/>
      <c r="W14" s="382"/>
      <c r="X14" s="382"/>
      <c r="Y14" s="382"/>
      <c r="Z14" s="382"/>
      <c r="AA14" s="382"/>
      <c r="AB14" s="382"/>
      <c r="AC14" s="382"/>
      <c r="AD14" s="382"/>
      <c r="AE14" s="382"/>
      <c r="AF14" s="382"/>
      <c r="AG14" s="382"/>
      <c r="AH14" s="382"/>
    </row>
    <row r="15" spans="1:34" x14ac:dyDescent="0.25">
      <c r="A15" s="382"/>
      <c r="B15" s="382"/>
      <c r="C15" s="382"/>
      <c r="D15" s="382"/>
      <c r="E15" s="382"/>
      <c r="F15" s="382"/>
      <c r="G15" s="382"/>
      <c r="H15" s="382"/>
      <c r="I15" s="382"/>
      <c r="J15" s="382"/>
      <c r="K15" s="382"/>
      <c r="L15" s="382"/>
      <c r="M15" s="382"/>
      <c r="N15" s="382"/>
      <c r="O15" s="382"/>
      <c r="P15" s="382"/>
      <c r="Q15" s="382"/>
      <c r="R15" s="382"/>
      <c r="S15" s="382"/>
      <c r="T15" s="382"/>
      <c r="U15" s="382"/>
      <c r="V15" s="382"/>
      <c r="W15" s="382"/>
      <c r="X15" s="382"/>
      <c r="Y15" s="382"/>
      <c r="Z15" s="382"/>
      <c r="AA15" s="382"/>
      <c r="AB15" s="382"/>
      <c r="AC15" s="382"/>
      <c r="AD15" s="382"/>
      <c r="AE15" s="382"/>
      <c r="AF15" s="382"/>
      <c r="AG15" s="382"/>
      <c r="AH15" s="382"/>
    </row>
    <row r="16" spans="1:34" x14ac:dyDescent="0.25">
      <c r="A16" s="382"/>
      <c r="B16" s="382"/>
      <c r="C16" s="382"/>
      <c r="D16" s="382"/>
      <c r="E16" s="382"/>
      <c r="F16" s="382"/>
      <c r="G16" s="382"/>
      <c r="H16" s="382"/>
      <c r="I16" s="382"/>
      <c r="J16" s="382"/>
      <c r="K16" s="382"/>
      <c r="L16" s="382"/>
      <c r="M16" s="382"/>
      <c r="N16" s="382"/>
      <c r="O16" s="382"/>
      <c r="P16" s="382"/>
      <c r="Q16" s="382"/>
      <c r="R16" s="382"/>
      <c r="S16" s="382"/>
      <c r="T16" s="382"/>
      <c r="U16" s="382"/>
      <c r="V16" s="382"/>
      <c r="W16" s="382"/>
      <c r="X16" s="382"/>
      <c r="Y16" s="382"/>
      <c r="Z16" s="382"/>
      <c r="AA16" s="382"/>
      <c r="AB16" s="382"/>
      <c r="AC16" s="382"/>
      <c r="AD16" s="382"/>
      <c r="AE16" s="382"/>
      <c r="AF16" s="382"/>
      <c r="AG16" s="382"/>
      <c r="AH16" s="382"/>
    </row>
    <row r="17" spans="1:34" x14ac:dyDescent="0.25">
      <c r="A17" s="382"/>
      <c r="B17" s="382"/>
      <c r="C17" s="382"/>
      <c r="D17" s="382"/>
      <c r="E17" s="382"/>
      <c r="F17" s="382"/>
      <c r="G17" s="382"/>
      <c r="H17" s="382"/>
      <c r="I17" s="382"/>
      <c r="J17" s="382"/>
      <c r="K17" s="382"/>
      <c r="L17" s="382"/>
      <c r="M17" s="382"/>
      <c r="N17" s="382"/>
      <c r="O17" s="382"/>
      <c r="P17" s="382"/>
      <c r="Q17" s="382"/>
      <c r="R17" s="382"/>
      <c r="S17" s="382"/>
      <c r="T17" s="382"/>
      <c r="U17" s="382"/>
      <c r="V17" s="382"/>
      <c r="W17" s="382"/>
      <c r="X17" s="382"/>
      <c r="Y17" s="382"/>
      <c r="Z17" s="382"/>
      <c r="AA17" s="382"/>
      <c r="AB17" s="382"/>
      <c r="AC17" s="382"/>
      <c r="AD17" s="382"/>
      <c r="AE17" s="382"/>
      <c r="AF17" s="382"/>
      <c r="AG17" s="382"/>
      <c r="AH17" s="382"/>
    </row>
    <row r="18" spans="1:34" x14ac:dyDescent="0.25">
      <c r="A18" s="382"/>
      <c r="B18" s="382"/>
      <c r="C18" s="382"/>
      <c r="D18" s="382"/>
      <c r="E18" s="382"/>
      <c r="F18" s="382"/>
      <c r="G18" s="382"/>
      <c r="H18" s="382"/>
      <c r="I18" s="382"/>
      <c r="J18" s="382"/>
      <c r="K18" s="382"/>
      <c r="L18" s="382"/>
      <c r="M18" s="382"/>
      <c r="N18" s="382"/>
      <c r="O18" s="382"/>
      <c r="P18" s="382"/>
      <c r="Q18" s="382"/>
      <c r="R18" s="382"/>
      <c r="S18" s="382"/>
      <c r="T18" s="382"/>
      <c r="U18" s="382"/>
      <c r="V18" s="382"/>
      <c r="W18" s="382"/>
      <c r="X18" s="382"/>
      <c r="Y18" s="382"/>
      <c r="Z18" s="382"/>
      <c r="AA18" s="382"/>
      <c r="AB18" s="382"/>
      <c r="AC18" s="382"/>
      <c r="AD18" s="382"/>
      <c r="AE18" s="382"/>
      <c r="AF18" s="382"/>
      <c r="AG18" s="382"/>
      <c r="AH18" s="382"/>
    </row>
    <row r="19" spans="1:34" x14ac:dyDescent="0.25">
      <c r="A19" s="382"/>
      <c r="B19" s="382"/>
      <c r="C19" s="382"/>
      <c r="D19" s="382"/>
      <c r="E19" s="382"/>
      <c r="F19" s="382"/>
      <c r="G19" s="382"/>
      <c r="H19" s="382"/>
      <c r="I19" s="382"/>
      <c r="J19" s="388"/>
      <c r="K19" s="382"/>
      <c r="L19" s="382"/>
      <c r="M19" s="382"/>
      <c r="N19" s="382"/>
      <c r="O19" s="382"/>
      <c r="P19" s="382"/>
      <c r="Q19" s="382"/>
      <c r="R19" s="382"/>
      <c r="S19" s="382"/>
      <c r="T19" s="382"/>
      <c r="U19" s="382"/>
      <c r="V19" s="382"/>
      <c r="W19" s="382"/>
      <c r="X19" s="382"/>
      <c r="Y19" s="382"/>
      <c r="Z19" s="382"/>
      <c r="AA19" s="382"/>
      <c r="AB19" s="382"/>
      <c r="AC19" s="382"/>
      <c r="AD19" s="382"/>
      <c r="AE19" s="382"/>
      <c r="AF19" s="382"/>
      <c r="AG19" s="382"/>
      <c r="AH19" s="382"/>
    </row>
    <row r="20" spans="1:34" x14ac:dyDescent="0.25">
      <c r="A20" s="382"/>
      <c r="B20" s="382"/>
      <c r="C20" s="382"/>
      <c r="D20" s="382"/>
      <c r="E20" s="382"/>
      <c r="F20" s="382"/>
      <c r="G20" s="382"/>
      <c r="H20" s="382"/>
      <c r="I20" s="382"/>
      <c r="J20" s="382"/>
      <c r="K20" s="382"/>
      <c r="L20" s="382"/>
      <c r="M20" s="382"/>
      <c r="N20" s="382"/>
      <c r="O20" s="382"/>
      <c r="P20" s="382"/>
      <c r="Q20" s="382"/>
      <c r="R20" s="382"/>
      <c r="S20" s="382"/>
      <c r="T20" s="382"/>
      <c r="U20" s="382"/>
      <c r="V20" s="382"/>
      <c r="W20" s="382"/>
      <c r="X20" s="382"/>
      <c r="Y20" s="382"/>
      <c r="Z20" s="382"/>
      <c r="AA20" s="382"/>
      <c r="AB20" s="382"/>
      <c r="AC20" s="382"/>
      <c r="AD20" s="382"/>
      <c r="AE20" s="382"/>
      <c r="AF20" s="382"/>
      <c r="AG20" s="382"/>
      <c r="AH20" s="382"/>
    </row>
    <row r="21" spans="1:34" x14ac:dyDescent="0.25">
      <c r="A21" s="382"/>
      <c r="B21" s="382"/>
      <c r="C21" s="382"/>
      <c r="D21" s="382"/>
      <c r="E21" s="382"/>
      <c r="F21" s="382"/>
      <c r="G21" s="382"/>
      <c r="H21" s="382"/>
      <c r="I21" s="382"/>
      <c r="J21" s="382"/>
      <c r="K21" s="382"/>
      <c r="L21" s="382"/>
      <c r="M21" s="382"/>
      <c r="N21" s="382"/>
      <c r="O21" s="382"/>
      <c r="P21" s="382"/>
      <c r="Q21" s="382"/>
      <c r="R21" s="382"/>
      <c r="S21" s="382"/>
      <c r="T21" s="382"/>
      <c r="U21" s="382"/>
      <c r="V21" s="382"/>
      <c r="W21" s="382"/>
      <c r="X21" s="382"/>
      <c r="Y21" s="382"/>
      <c r="Z21" s="382"/>
      <c r="AA21" s="382"/>
      <c r="AB21" s="382"/>
      <c r="AC21" s="382"/>
      <c r="AD21" s="382"/>
      <c r="AE21" s="382"/>
      <c r="AF21" s="382"/>
      <c r="AG21" s="382"/>
      <c r="AH21" s="382"/>
    </row>
    <row r="22" spans="1:34" x14ac:dyDescent="0.25">
      <c r="A22" s="382"/>
      <c r="B22" s="382"/>
      <c r="C22" s="382"/>
      <c r="D22" s="382"/>
      <c r="E22" s="382"/>
      <c r="F22" s="382"/>
      <c r="G22" s="382"/>
      <c r="H22" s="382"/>
      <c r="I22" s="382"/>
      <c r="J22" s="382"/>
      <c r="K22" s="382"/>
      <c r="L22" s="382"/>
      <c r="M22" s="382"/>
      <c r="N22" s="382"/>
      <c r="O22" s="382"/>
      <c r="P22" s="382"/>
      <c r="Q22" s="382"/>
      <c r="R22" s="382"/>
      <c r="S22" s="382"/>
      <c r="T22" s="382"/>
      <c r="U22" s="382"/>
      <c r="V22" s="382"/>
      <c r="W22" s="382"/>
      <c r="X22" s="382"/>
      <c r="Y22" s="382"/>
      <c r="Z22" s="382"/>
      <c r="AA22" s="382"/>
      <c r="AB22" s="382"/>
      <c r="AC22" s="382"/>
      <c r="AD22" s="382"/>
      <c r="AE22" s="382"/>
      <c r="AF22" s="382"/>
      <c r="AG22" s="382"/>
      <c r="AH22" s="382"/>
    </row>
    <row r="23" spans="1:34" x14ac:dyDescent="0.25">
      <c r="A23" s="382"/>
      <c r="B23" s="382"/>
      <c r="C23" s="382"/>
      <c r="D23" s="382"/>
      <c r="E23" s="382"/>
      <c r="F23" s="382"/>
      <c r="G23" s="382"/>
      <c r="H23" s="382"/>
      <c r="I23" s="382"/>
      <c r="J23" s="382"/>
      <c r="K23" s="382"/>
      <c r="L23" s="382"/>
      <c r="M23" s="382"/>
      <c r="N23" s="382"/>
      <c r="O23" s="382"/>
      <c r="P23" s="382"/>
      <c r="Q23" s="382"/>
      <c r="R23" s="382"/>
      <c r="S23" s="382"/>
      <c r="T23" s="382"/>
      <c r="U23" s="382"/>
      <c r="V23" s="382"/>
      <c r="W23" s="382"/>
      <c r="X23" s="382"/>
      <c r="Y23" s="382"/>
      <c r="Z23" s="382"/>
      <c r="AA23" s="382"/>
      <c r="AB23" s="382"/>
      <c r="AC23" s="382"/>
      <c r="AD23" s="382"/>
      <c r="AE23" s="382"/>
      <c r="AF23" s="382"/>
      <c r="AG23" s="382"/>
      <c r="AH23" s="382"/>
    </row>
    <row r="24" spans="1:34" x14ac:dyDescent="0.25">
      <c r="A24" s="382"/>
      <c r="B24" s="382"/>
      <c r="C24" s="382"/>
      <c r="D24" s="382"/>
      <c r="E24" s="382"/>
      <c r="F24" s="382"/>
      <c r="G24" s="382"/>
      <c r="H24" s="382"/>
      <c r="I24" s="382"/>
      <c r="J24" s="382"/>
      <c r="K24" s="382"/>
      <c r="L24" s="382"/>
      <c r="M24" s="382"/>
      <c r="N24" s="382"/>
      <c r="O24" s="382"/>
      <c r="P24" s="382"/>
      <c r="Q24" s="382"/>
      <c r="R24" s="382"/>
      <c r="S24" s="382"/>
      <c r="T24" s="382"/>
      <c r="U24" s="382"/>
      <c r="V24" s="382"/>
      <c r="W24" s="382"/>
      <c r="X24" s="382"/>
      <c r="Y24" s="382"/>
      <c r="Z24" s="382"/>
      <c r="AA24" s="382"/>
      <c r="AB24" s="382"/>
      <c r="AC24" s="382"/>
      <c r="AD24" s="382"/>
      <c r="AE24" s="382"/>
      <c r="AF24" s="382"/>
      <c r="AG24" s="382"/>
      <c r="AH24" s="382"/>
    </row>
    <row r="25" spans="1:34" x14ac:dyDescent="0.25">
      <c r="A25" s="382"/>
      <c r="B25" s="382"/>
      <c r="C25" s="382"/>
      <c r="D25" s="382"/>
      <c r="E25" s="382"/>
      <c r="F25" s="382"/>
      <c r="G25" s="382"/>
      <c r="H25" s="382"/>
      <c r="I25" s="382"/>
      <c r="J25" s="389"/>
      <c r="K25" s="389"/>
      <c r="L25" s="389"/>
      <c r="M25" s="389"/>
      <c r="N25" s="389"/>
      <c r="O25" s="389"/>
      <c r="P25" s="389"/>
      <c r="Q25" s="382"/>
      <c r="R25" s="382"/>
      <c r="S25" s="382"/>
      <c r="T25" s="382"/>
      <c r="U25" s="382"/>
      <c r="V25" s="382"/>
      <c r="W25" s="382"/>
      <c r="X25" s="382"/>
      <c r="Y25" s="382"/>
      <c r="Z25" s="382"/>
      <c r="AA25" s="382"/>
      <c r="AB25" s="382"/>
      <c r="AC25" s="382"/>
      <c r="AD25" s="382"/>
      <c r="AE25" s="382"/>
      <c r="AF25" s="382"/>
      <c r="AG25" s="382"/>
      <c r="AH25" s="382"/>
    </row>
    <row r="26" spans="1:34" x14ac:dyDescent="0.25">
      <c r="A26" s="382"/>
      <c r="B26" s="382"/>
      <c r="C26" s="382"/>
      <c r="D26" s="382"/>
      <c r="E26" s="382"/>
      <c r="F26" s="382"/>
      <c r="G26" s="382"/>
      <c r="H26" s="382"/>
      <c r="I26" s="382"/>
      <c r="J26" s="389"/>
      <c r="K26" s="389"/>
      <c r="L26" s="389"/>
      <c r="M26" s="389"/>
      <c r="N26" s="389"/>
      <c r="O26" s="389"/>
      <c r="P26" s="389"/>
      <c r="Q26" s="382"/>
      <c r="R26" s="382"/>
      <c r="S26" s="382"/>
      <c r="T26" s="382"/>
      <c r="U26" s="382"/>
      <c r="V26" s="382"/>
      <c r="W26" s="382"/>
      <c r="X26" s="382"/>
      <c r="Y26" s="382"/>
      <c r="Z26" s="382"/>
      <c r="AA26" s="382"/>
      <c r="AB26" s="382"/>
      <c r="AC26" s="382"/>
      <c r="AD26" s="382"/>
      <c r="AE26" s="382"/>
      <c r="AF26" s="382"/>
      <c r="AG26" s="382"/>
      <c r="AH26" s="382"/>
    </row>
    <row r="27" spans="1:34" x14ac:dyDescent="0.25">
      <c r="A27" s="382"/>
      <c r="B27" s="382"/>
      <c r="C27" s="382"/>
      <c r="D27" s="382"/>
      <c r="E27" s="382"/>
      <c r="F27" s="382"/>
      <c r="G27" s="382"/>
      <c r="H27" s="382"/>
      <c r="I27" s="382"/>
      <c r="J27" s="389"/>
      <c r="K27" s="389"/>
      <c r="L27" s="389"/>
      <c r="M27" s="389"/>
      <c r="N27" s="389"/>
      <c r="O27" s="389"/>
      <c r="P27" s="389"/>
      <c r="Q27" s="382"/>
      <c r="R27" s="382"/>
      <c r="S27" s="382"/>
      <c r="T27" s="382"/>
      <c r="U27" s="382"/>
      <c r="V27" s="382"/>
      <c r="W27" s="382"/>
      <c r="X27" s="382"/>
      <c r="Y27" s="382"/>
      <c r="Z27" s="382"/>
      <c r="AA27" s="382"/>
      <c r="AB27" s="382"/>
      <c r="AC27" s="382"/>
      <c r="AD27" s="382"/>
      <c r="AE27" s="382"/>
      <c r="AF27" s="382"/>
      <c r="AG27" s="382"/>
      <c r="AH27" s="382"/>
    </row>
    <row r="28" spans="1:34" x14ac:dyDescent="0.25">
      <c r="A28" s="382"/>
      <c r="B28" s="382"/>
      <c r="C28" s="382"/>
      <c r="D28" s="382"/>
      <c r="E28" s="382"/>
      <c r="F28" s="382"/>
      <c r="G28" s="382"/>
      <c r="H28" s="382"/>
      <c r="I28" s="382"/>
      <c r="J28" s="389"/>
      <c r="K28" s="389"/>
      <c r="L28" s="389"/>
      <c r="M28" s="389"/>
      <c r="N28" s="389"/>
      <c r="O28" s="389"/>
      <c r="P28" s="389"/>
      <c r="Q28" s="382"/>
      <c r="R28" s="382"/>
      <c r="S28" s="382"/>
      <c r="T28" s="382"/>
      <c r="U28" s="382"/>
      <c r="V28" s="382"/>
      <c r="W28" s="382"/>
      <c r="X28" s="382"/>
      <c r="Y28" s="382"/>
      <c r="Z28" s="382"/>
      <c r="AA28" s="382"/>
      <c r="AB28" s="382"/>
      <c r="AC28" s="382"/>
      <c r="AD28" s="382"/>
      <c r="AE28" s="382"/>
      <c r="AF28" s="382"/>
      <c r="AG28" s="382"/>
      <c r="AH28" s="382"/>
    </row>
    <row r="29" spans="1:34" x14ac:dyDescent="0.25">
      <c r="A29" s="382"/>
      <c r="B29" s="382"/>
      <c r="C29" s="382"/>
      <c r="D29" s="382"/>
      <c r="E29" s="382"/>
      <c r="F29" s="382"/>
      <c r="G29" s="382"/>
      <c r="H29" s="382"/>
      <c r="I29" s="382"/>
      <c r="J29" s="389"/>
      <c r="K29" s="389"/>
      <c r="L29" s="389"/>
      <c r="M29" s="389"/>
      <c r="N29" s="389"/>
      <c r="O29" s="389"/>
      <c r="P29" s="389"/>
      <c r="Q29" s="382"/>
      <c r="R29" s="382"/>
      <c r="S29" s="382"/>
      <c r="T29" s="382"/>
      <c r="U29" s="382"/>
      <c r="V29" s="382"/>
      <c r="W29" s="382"/>
      <c r="X29" s="382"/>
      <c r="Y29" s="382"/>
      <c r="Z29" s="382"/>
      <c r="AA29" s="382"/>
      <c r="AB29" s="382"/>
      <c r="AC29" s="382"/>
      <c r="AD29" s="382"/>
      <c r="AE29" s="382"/>
      <c r="AF29" s="382"/>
      <c r="AG29" s="382"/>
      <c r="AH29" s="382"/>
    </row>
    <row r="30" spans="1:34" x14ac:dyDescent="0.25">
      <c r="A30" s="382"/>
      <c r="B30" s="382"/>
      <c r="C30" s="382"/>
      <c r="D30" s="382"/>
      <c r="E30" s="382"/>
      <c r="F30" s="382"/>
      <c r="G30" s="382"/>
      <c r="H30" s="382"/>
      <c r="I30" s="382"/>
      <c r="J30" s="382"/>
      <c r="K30" s="389"/>
      <c r="L30" s="382"/>
      <c r="M30" s="382"/>
      <c r="N30" s="382"/>
      <c r="O30" s="382"/>
      <c r="P30" s="382"/>
      <c r="Q30" s="382"/>
      <c r="R30" s="382"/>
      <c r="S30" s="382"/>
      <c r="T30" s="382"/>
      <c r="U30" s="382"/>
      <c r="V30" s="382"/>
      <c r="W30" s="382"/>
      <c r="X30" s="382"/>
      <c r="Y30" s="382"/>
      <c r="Z30" s="382"/>
      <c r="AA30" s="382"/>
      <c r="AB30" s="382"/>
      <c r="AC30" s="382"/>
      <c r="AD30" s="382"/>
      <c r="AE30" s="382"/>
      <c r="AF30" s="382"/>
      <c r="AG30" s="382"/>
      <c r="AH30" s="382"/>
    </row>
    <row r="31" spans="1:34" x14ac:dyDescent="0.25">
      <c r="A31" s="382"/>
      <c r="B31" s="382"/>
      <c r="C31" s="382"/>
      <c r="D31" s="382"/>
      <c r="E31" s="382"/>
      <c r="F31" s="382"/>
      <c r="G31" s="382"/>
      <c r="H31" s="382"/>
      <c r="I31" s="382"/>
      <c r="J31" s="382"/>
      <c r="K31" s="389"/>
      <c r="L31" s="382"/>
      <c r="M31" s="382"/>
      <c r="N31" s="382"/>
      <c r="O31" s="382"/>
      <c r="P31" s="382"/>
      <c r="Q31" s="382"/>
      <c r="R31" s="382"/>
      <c r="S31" s="382"/>
      <c r="T31" s="382"/>
      <c r="U31" s="382"/>
      <c r="V31" s="382"/>
      <c r="W31" s="382"/>
      <c r="X31" s="382"/>
      <c r="Y31" s="382"/>
      <c r="Z31" s="382"/>
      <c r="AA31" s="382"/>
      <c r="AB31" s="382"/>
      <c r="AC31" s="382"/>
      <c r="AD31" s="382"/>
      <c r="AE31" s="382"/>
      <c r="AF31" s="382"/>
      <c r="AG31" s="382"/>
      <c r="AH31" s="382"/>
    </row>
    <row r="32" spans="1:34" x14ac:dyDescent="0.25">
      <c r="A32" s="382"/>
      <c r="B32" s="382"/>
      <c r="C32" s="382"/>
      <c r="D32" s="382"/>
      <c r="E32" s="382"/>
      <c r="F32" s="382"/>
      <c r="G32" s="382"/>
      <c r="H32" s="382"/>
      <c r="I32" s="382"/>
      <c r="J32" s="382"/>
      <c r="K32" s="389"/>
      <c r="L32" s="382"/>
      <c r="M32" s="382"/>
      <c r="N32" s="382"/>
      <c r="O32" s="382"/>
      <c r="P32" s="382"/>
      <c r="Q32" s="382"/>
      <c r="R32" s="382"/>
      <c r="S32" s="382"/>
      <c r="T32" s="382"/>
      <c r="U32" s="382"/>
      <c r="V32" s="382"/>
      <c r="W32" s="382"/>
      <c r="X32" s="382"/>
      <c r="Y32" s="382"/>
      <c r="Z32" s="382"/>
      <c r="AA32" s="382"/>
      <c r="AB32" s="382"/>
      <c r="AC32" s="382"/>
      <c r="AD32" s="382"/>
      <c r="AE32" s="382"/>
      <c r="AF32" s="382"/>
      <c r="AG32" s="382"/>
      <c r="AH32" s="382"/>
    </row>
    <row r="33" spans="1:34" x14ac:dyDescent="0.25">
      <c r="A33" s="382"/>
      <c r="B33" s="382"/>
      <c r="C33" s="382"/>
      <c r="D33" s="382"/>
      <c r="E33" s="382"/>
      <c r="F33" s="382"/>
      <c r="G33" s="382"/>
      <c r="H33" s="382"/>
      <c r="I33" s="382"/>
      <c r="J33" s="382"/>
      <c r="K33" s="382"/>
      <c r="L33" s="382"/>
      <c r="M33" s="382"/>
      <c r="N33" s="382"/>
      <c r="O33" s="382"/>
      <c r="P33" s="382"/>
      <c r="Q33" s="382"/>
      <c r="R33" s="382"/>
      <c r="S33" s="382"/>
      <c r="T33" s="382"/>
      <c r="U33" s="382"/>
      <c r="V33" s="382"/>
      <c r="W33" s="382"/>
      <c r="X33" s="382"/>
      <c r="Y33" s="382"/>
      <c r="Z33" s="382"/>
      <c r="AA33" s="382"/>
      <c r="AB33" s="382"/>
      <c r="AC33" s="382"/>
      <c r="AD33" s="382"/>
      <c r="AE33" s="382"/>
      <c r="AF33" s="382"/>
      <c r="AG33" s="382"/>
      <c r="AH33" s="382"/>
    </row>
    <row r="34" spans="1:34" x14ac:dyDescent="0.25">
      <c r="A34" s="382"/>
      <c r="B34" s="382"/>
      <c r="C34" s="382"/>
      <c r="D34" s="382"/>
      <c r="E34" s="382"/>
      <c r="F34" s="382"/>
      <c r="G34" s="382"/>
      <c r="H34" s="382"/>
      <c r="I34" s="382"/>
      <c r="J34" s="382"/>
      <c r="K34" s="382"/>
      <c r="L34" s="382"/>
      <c r="M34" s="382"/>
      <c r="N34" s="382"/>
      <c r="O34" s="382"/>
      <c r="P34" s="382"/>
      <c r="Q34" s="382"/>
      <c r="R34" s="382"/>
      <c r="S34" s="382"/>
      <c r="T34" s="382"/>
      <c r="U34" s="382"/>
      <c r="V34" s="382"/>
      <c r="W34" s="382"/>
      <c r="X34" s="382"/>
      <c r="Y34" s="382"/>
      <c r="Z34" s="382"/>
      <c r="AA34" s="382"/>
      <c r="AB34" s="382"/>
      <c r="AC34" s="382"/>
      <c r="AD34" s="382"/>
      <c r="AE34" s="382"/>
      <c r="AF34" s="382"/>
      <c r="AG34" s="382"/>
      <c r="AH34" s="382"/>
    </row>
    <row r="35" spans="1:34" x14ac:dyDescent="0.25">
      <c r="A35" s="382"/>
      <c r="B35" s="382"/>
      <c r="C35" s="382"/>
      <c r="D35" s="382"/>
      <c r="E35" s="382"/>
      <c r="F35" s="382"/>
      <c r="G35" s="382"/>
      <c r="H35" s="382"/>
      <c r="I35" s="382"/>
      <c r="J35" s="382"/>
      <c r="K35" s="382"/>
      <c r="L35" s="382"/>
      <c r="M35" s="382"/>
      <c r="N35" s="382"/>
      <c r="O35" s="382"/>
      <c r="P35" s="382"/>
      <c r="Q35" s="382"/>
      <c r="R35" s="382"/>
      <c r="S35" s="382"/>
      <c r="T35" s="382"/>
      <c r="U35" s="382"/>
      <c r="V35" s="382"/>
      <c r="W35" s="382"/>
      <c r="X35" s="382"/>
      <c r="Y35" s="382"/>
      <c r="Z35" s="382"/>
      <c r="AA35" s="382"/>
      <c r="AB35" s="382"/>
      <c r="AC35" s="382"/>
      <c r="AD35" s="382"/>
      <c r="AE35" s="382"/>
      <c r="AF35" s="382"/>
      <c r="AG35" s="382"/>
      <c r="AH35" s="382"/>
    </row>
    <row r="36" spans="1:34" x14ac:dyDescent="0.25">
      <c r="A36" s="382"/>
      <c r="B36" s="382"/>
      <c r="C36" s="382"/>
      <c r="D36" s="382"/>
      <c r="E36" s="382"/>
      <c r="F36" s="382"/>
      <c r="G36" s="382"/>
      <c r="H36" s="382"/>
      <c r="I36" s="382"/>
      <c r="J36" s="382"/>
      <c r="K36" s="382"/>
      <c r="L36" s="382"/>
      <c r="M36" s="382"/>
      <c r="N36" s="382"/>
      <c r="O36" s="382"/>
      <c r="P36" s="382"/>
      <c r="Q36" s="382"/>
      <c r="R36" s="382"/>
      <c r="S36" s="382"/>
      <c r="T36" s="382"/>
      <c r="U36" s="382"/>
      <c r="V36" s="382"/>
      <c r="W36" s="382"/>
      <c r="X36" s="382"/>
      <c r="Y36" s="382"/>
      <c r="Z36" s="382"/>
      <c r="AA36" s="382"/>
      <c r="AB36" s="382"/>
      <c r="AC36" s="382"/>
      <c r="AD36" s="382"/>
      <c r="AE36" s="382"/>
      <c r="AF36" s="382"/>
      <c r="AG36" s="382"/>
      <c r="AH36" s="382"/>
    </row>
    <row r="37" spans="1:34" x14ac:dyDescent="0.25">
      <c r="A37" s="382"/>
      <c r="B37" s="382"/>
      <c r="C37" s="382"/>
      <c r="D37" s="382"/>
      <c r="E37" s="382"/>
      <c r="F37" s="382"/>
      <c r="G37" s="382"/>
      <c r="H37" s="382"/>
      <c r="I37" s="382"/>
      <c r="J37" s="382"/>
      <c r="K37" s="382"/>
      <c r="L37" s="382"/>
      <c r="M37" s="382"/>
      <c r="N37" s="382"/>
      <c r="O37" s="382"/>
      <c r="P37" s="382"/>
      <c r="Q37" s="382"/>
      <c r="R37" s="382"/>
      <c r="S37" s="382"/>
      <c r="T37" s="382"/>
      <c r="U37" s="382"/>
      <c r="V37" s="382"/>
      <c r="W37" s="382"/>
      <c r="X37" s="382"/>
      <c r="Y37" s="382"/>
      <c r="Z37" s="382"/>
      <c r="AA37" s="382"/>
      <c r="AB37" s="382"/>
      <c r="AC37" s="382"/>
      <c r="AD37" s="382"/>
      <c r="AE37" s="382"/>
      <c r="AF37" s="382"/>
      <c r="AG37" s="382"/>
      <c r="AH37" s="382"/>
    </row>
    <row r="38" spans="1:34" x14ac:dyDescent="0.25">
      <c r="A38" s="382"/>
      <c r="B38" s="382"/>
      <c r="C38" s="382"/>
      <c r="D38" s="382"/>
      <c r="E38" s="382"/>
      <c r="F38" s="382"/>
      <c r="G38" s="382"/>
      <c r="H38" s="382"/>
      <c r="I38" s="382"/>
      <c r="J38" s="382"/>
      <c r="K38" s="382"/>
      <c r="L38" s="382"/>
      <c r="M38" s="382"/>
      <c r="N38" s="382"/>
      <c r="O38" s="382"/>
      <c r="P38" s="382"/>
      <c r="Q38" s="382"/>
      <c r="R38" s="382"/>
      <c r="S38" s="382"/>
      <c r="T38" s="382"/>
      <c r="U38" s="382"/>
      <c r="V38" s="382"/>
      <c r="W38" s="382"/>
      <c r="X38" s="382"/>
      <c r="Y38" s="382"/>
      <c r="Z38" s="382"/>
      <c r="AA38" s="382"/>
      <c r="AB38" s="382"/>
      <c r="AC38" s="382"/>
      <c r="AD38" s="382"/>
      <c r="AE38" s="382"/>
      <c r="AF38" s="382"/>
      <c r="AG38" s="382"/>
      <c r="AH38" s="382"/>
    </row>
    <row r="39" spans="1:34" x14ac:dyDescent="0.25">
      <c r="A39" s="382"/>
      <c r="B39" s="382"/>
      <c r="C39" s="382"/>
      <c r="D39" s="382"/>
      <c r="E39" s="382"/>
      <c r="F39" s="382"/>
      <c r="G39" s="382"/>
      <c r="H39" s="382"/>
      <c r="I39" s="382"/>
      <c r="J39" s="382"/>
      <c r="K39" s="382"/>
      <c r="L39" s="382"/>
      <c r="M39" s="382"/>
      <c r="N39" s="382"/>
      <c r="O39" s="382"/>
      <c r="P39" s="382"/>
      <c r="Q39" s="382"/>
      <c r="R39" s="382"/>
      <c r="S39" s="382"/>
      <c r="T39" s="382"/>
      <c r="U39" s="382"/>
      <c r="V39" s="382"/>
      <c r="W39" s="382"/>
      <c r="X39" s="382"/>
      <c r="Y39" s="382"/>
      <c r="Z39" s="382"/>
      <c r="AA39" s="382"/>
      <c r="AB39" s="382"/>
      <c r="AC39" s="382"/>
      <c r="AD39" s="382"/>
      <c r="AE39" s="382"/>
      <c r="AF39" s="382"/>
      <c r="AG39" s="382"/>
      <c r="AH39" s="382"/>
    </row>
    <row r="40" spans="1:34" x14ac:dyDescent="0.25">
      <c r="A40" s="382"/>
      <c r="B40" s="382"/>
      <c r="C40" s="382"/>
      <c r="D40" s="382"/>
      <c r="E40" s="382"/>
      <c r="F40" s="382"/>
      <c r="G40" s="382"/>
      <c r="H40" s="382"/>
      <c r="I40" s="382"/>
      <c r="J40" s="382"/>
      <c r="K40" s="382"/>
      <c r="L40" s="382"/>
      <c r="M40" s="382"/>
      <c r="N40" s="382"/>
      <c r="O40" s="382"/>
      <c r="P40" s="382"/>
      <c r="Q40" s="382"/>
      <c r="R40" s="382"/>
      <c r="S40" s="382"/>
      <c r="T40" s="382"/>
      <c r="U40" s="382"/>
      <c r="V40" s="382"/>
      <c r="W40" s="382"/>
      <c r="X40" s="382"/>
      <c r="Y40" s="382"/>
      <c r="Z40" s="382"/>
      <c r="AA40" s="382"/>
      <c r="AB40" s="382"/>
      <c r="AC40" s="382"/>
      <c r="AD40" s="382"/>
      <c r="AE40" s="382"/>
      <c r="AF40" s="382"/>
      <c r="AG40" s="382"/>
      <c r="AH40" s="382"/>
    </row>
    <row r="41" spans="1:34" x14ac:dyDescent="0.25">
      <c r="A41" s="382"/>
      <c r="B41" s="382"/>
      <c r="C41" s="382"/>
      <c r="D41" s="382"/>
      <c r="E41" s="382"/>
      <c r="F41" s="382"/>
      <c r="G41" s="382"/>
      <c r="H41" s="382"/>
      <c r="I41" s="382"/>
      <c r="J41" s="382"/>
      <c r="K41" s="382"/>
      <c r="L41" s="382"/>
      <c r="M41" s="382"/>
      <c r="N41" s="382"/>
      <c r="O41" s="382"/>
      <c r="P41" s="382"/>
      <c r="Q41" s="382"/>
      <c r="R41" s="382"/>
      <c r="S41" s="382"/>
      <c r="T41" s="382"/>
      <c r="U41" s="382"/>
      <c r="V41" s="382"/>
      <c r="W41" s="382"/>
      <c r="X41" s="382"/>
      <c r="Y41" s="382"/>
      <c r="Z41" s="382"/>
      <c r="AA41" s="382"/>
      <c r="AB41" s="382"/>
      <c r="AC41" s="382"/>
      <c r="AD41" s="382"/>
      <c r="AE41" s="382"/>
      <c r="AF41" s="382"/>
      <c r="AG41" s="382"/>
      <c r="AH41" s="382"/>
    </row>
    <row r="42" spans="1:34" x14ac:dyDescent="0.25">
      <c r="A42" s="382"/>
      <c r="B42" s="382"/>
      <c r="C42" s="382"/>
      <c r="D42" s="382"/>
      <c r="E42" s="382"/>
      <c r="F42" s="382"/>
      <c r="G42" s="382"/>
      <c r="H42" s="382"/>
      <c r="I42" s="382"/>
      <c r="J42" s="382"/>
      <c r="K42" s="382"/>
      <c r="L42" s="382"/>
      <c r="M42" s="382"/>
      <c r="N42" s="382"/>
      <c r="O42" s="382"/>
      <c r="P42" s="382"/>
      <c r="Q42" s="382"/>
      <c r="R42" s="382"/>
      <c r="S42" s="382"/>
      <c r="T42" s="382"/>
      <c r="U42" s="382"/>
      <c r="V42" s="382"/>
      <c r="W42" s="382"/>
      <c r="X42" s="382"/>
      <c r="Y42" s="382"/>
      <c r="Z42" s="382"/>
      <c r="AA42" s="382"/>
      <c r="AB42" s="382"/>
      <c r="AC42" s="382"/>
      <c r="AD42" s="382"/>
      <c r="AE42" s="382"/>
      <c r="AF42" s="382"/>
      <c r="AG42" s="382"/>
      <c r="AH42" s="382"/>
    </row>
    <row r="43" spans="1:34" x14ac:dyDescent="0.25">
      <c r="A43" s="382"/>
      <c r="B43" s="382"/>
      <c r="C43" s="382"/>
      <c r="D43" s="382"/>
      <c r="E43" s="382"/>
      <c r="F43" s="382"/>
      <c r="G43" s="382"/>
      <c r="H43" s="382"/>
      <c r="I43" s="382"/>
      <c r="J43" s="382"/>
      <c r="K43" s="382"/>
      <c r="L43" s="382"/>
      <c r="M43" s="382"/>
      <c r="N43" s="382"/>
      <c r="O43" s="382"/>
      <c r="P43" s="382"/>
      <c r="Q43" s="382"/>
      <c r="R43" s="382"/>
      <c r="S43" s="382"/>
      <c r="T43" s="382"/>
      <c r="U43" s="382"/>
      <c r="V43" s="382"/>
      <c r="W43" s="382"/>
      <c r="X43" s="382"/>
      <c r="Y43" s="382"/>
      <c r="Z43" s="382"/>
      <c r="AA43" s="382"/>
      <c r="AB43" s="382"/>
      <c r="AC43" s="382"/>
      <c r="AD43" s="382"/>
      <c r="AE43" s="382"/>
      <c r="AF43" s="382"/>
      <c r="AG43" s="382"/>
      <c r="AH43" s="382"/>
    </row>
    <row r="44" spans="1:34" x14ac:dyDescent="0.25">
      <c r="A44" s="382"/>
      <c r="B44" s="382"/>
      <c r="C44" s="382"/>
      <c r="D44" s="382"/>
      <c r="E44" s="382"/>
      <c r="F44" s="382"/>
      <c r="G44" s="382"/>
      <c r="H44" s="382"/>
      <c r="I44" s="382"/>
      <c r="J44" s="382"/>
      <c r="K44" s="382"/>
      <c r="L44" s="382"/>
      <c r="M44" s="382"/>
      <c r="N44" s="382"/>
      <c r="O44" s="382"/>
      <c r="P44" s="382"/>
      <c r="Q44" s="382"/>
      <c r="R44" s="382"/>
      <c r="S44" s="382"/>
      <c r="T44" s="382"/>
      <c r="U44" s="382"/>
      <c r="V44" s="382"/>
      <c r="W44" s="382"/>
      <c r="X44" s="382"/>
      <c r="Y44" s="382"/>
      <c r="Z44" s="382"/>
      <c r="AA44" s="382"/>
      <c r="AB44" s="382"/>
      <c r="AC44" s="382"/>
      <c r="AD44" s="382"/>
      <c r="AE44" s="382"/>
      <c r="AF44" s="382"/>
      <c r="AG44" s="382"/>
      <c r="AH44" s="382"/>
    </row>
    <row r="45" spans="1:34" x14ac:dyDescent="0.25">
      <c r="A45" s="382"/>
      <c r="B45" s="382"/>
      <c r="C45" s="382"/>
      <c r="D45" s="382"/>
      <c r="E45" s="382"/>
      <c r="F45" s="382"/>
      <c r="G45" s="382"/>
      <c r="H45" s="382"/>
      <c r="I45" s="382"/>
      <c r="J45" s="382"/>
      <c r="K45" s="382"/>
      <c r="L45" s="382"/>
      <c r="M45" s="382"/>
      <c r="N45" s="382"/>
      <c r="O45" s="382"/>
      <c r="P45" s="382"/>
      <c r="Q45" s="382"/>
      <c r="R45" s="382"/>
      <c r="S45" s="382"/>
      <c r="T45" s="382"/>
      <c r="U45" s="382"/>
      <c r="V45" s="382"/>
      <c r="W45" s="382"/>
      <c r="X45" s="382"/>
      <c r="Y45" s="382"/>
      <c r="Z45" s="382"/>
      <c r="AA45" s="382"/>
      <c r="AB45" s="382"/>
      <c r="AC45" s="382"/>
      <c r="AD45" s="382"/>
      <c r="AE45" s="382"/>
      <c r="AF45" s="382"/>
      <c r="AG45" s="382"/>
      <c r="AH45" s="382"/>
    </row>
    <row r="46" spans="1:34" x14ac:dyDescent="0.25">
      <c r="A46" s="382"/>
      <c r="B46" s="382"/>
      <c r="C46" s="382"/>
      <c r="D46" s="382"/>
      <c r="E46" s="382"/>
      <c r="F46" s="382"/>
      <c r="G46" s="382"/>
      <c r="H46" s="382"/>
      <c r="I46" s="382"/>
      <c r="J46" s="382"/>
      <c r="K46" s="382"/>
      <c r="L46" s="382"/>
      <c r="M46" s="382"/>
      <c r="N46" s="382"/>
      <c r="O46" s="382"/>
      <c r="P46" s="382"/>
      <c r="Q46" s="382"/>
      <c r="R46" s="382"/>
      <c r="S46" s="382"/>
      <c r="T46" s="382"/>
      <c r="U46" s="382"/>
      <c r="V46" s="382"/>
      <c r="W46" s="382"/>
      <c r="X46" s="382"/>
      <c r="Y46" s="382"/>
      <c r="Z46" s="382"/>
      <c r="AA46" s="382"/>
      <c r="AB46" s="382"/>
      <c r="AC46" s="382"/>
      <c r="AD46" s="382"/>
      <c r="AE46" s="382"/>
      <c r="AF46" s="382"/>
      <c r="AG46" s="382"/>
      <c r="AH46" s="382"/>
    </row>
    <row r="47" spans="1:34" x14ac:dyDescent="0.25">
      <c r="A47" s="382"/>
      <c r="B47" s="382"/>
      <c r="C47" s="382"/>
      <c r="D47" s="382"/>
      <c r="E47" s="382"/>
      <c r="F47" s="382"/>
      <c r="G47" s="382"/>
      <c r="H47" s="382"/>
      <c r="I47" s="382"/>
      <c r="J47" s="382"/>
      <c r="K47" s="382"/>
      <c r="L47" s="382"/>
      <c r="M47" s="382"/>
      <c r="N47" s="382"/>
      <c r="O47" s="382"/>
      <c r="P47" s="382"/>
      <c r="Q47" s="382"/>
      <c r="R47" s="382"/>
      <c r="S47" s="382"/>
      <c r="T47" s="382"/>
      <c r="U47" s="382"/>
      <c r="V47" s="382"/>
      <c r="W47" s="382"/>
      <c r="X47" s="382"/>
      <c r="Y47" s="382"/>
      <c r="Z47" s="382"/>
      <c r="AA47" s="382"/>
      <c r="AB47" s="382"/>
      <c r="AC47" s="382"/>
      <c r="AD47" s="382"/>
      <c r="AE47" s="382"/>
      <c r="AF47" s="382"/>
      <c r="AG47" s="382"/>
      <c r="AH47" s="382"/>
    </row>
    <row r="48" spans="1:34" x14ac:dyDescent="0.25">
      <c r="A48" s="382"/>
      <c r="B48" s="382"/>
      <c r="C48" s="382"/>
      <c r="D48" s="382"/>
      <c r="E48" s="382"/>
      <c r="F48" s="382"/>
      <c r="G48" s="382"/>
      <c r="H48" s="382"/>
      <c r="I48" s="382"/>
      <c r="J48" s="382"/>
      <c r="K48" s="382"/>
      <c r="L48" s="382"/>
      <c r="M48" s="382"/>
      <c r="N48" s="382"/>
      <c r="O48" s="382"/>
      <c r="P48" s="382"/>
      <c r="Q48" s="382"/>
      <c r="R48" s="382"/>
      <c r="S48" s="382"/>
      <c r="T48" s="382"/>
      <c r="U48" s="382"/>
      <c r="V48" s="382"/>
      <c r="W48" s="382"/>
      <c r="X48" s="382"/>
      <c r="Y48" s="382"/>
      <c r="Z48" s="382"/>
      <c r="AA48" s="382"/>
      <c r="AB48" s="382"/>
      <c r="AC48" s="382"/>
      <c r="AD48" s="382"/>
      <c r="AE48" s="382"/>
      <c r="AF48" s="382"/>
      <c r="AG48" s="382"/>
      <c r="AH48" s="382"/>
    </row>
    <row r="49" spans="1:34" x14ac:dyDescent="0.25">
      <c r="A49" s="382"/>
      <c r="B49" s="382"/>
      <c r="C49" s="382"/>
      <c r="D49" s="382"/>
      <c r="E49" s="382"/>
      <c r="F49" s="382"/>
      <c r="G49" s="382"/>
      <c r="H49" s="382"/>
      <c r="I49" s="382"/>
      <c r="J49" s="382"/>
      <c r="K49" s="382"/>
      <c r="L49" s="382"/>
      <c r="M49" s="382"/>
      <c r="N49" s="382"/>
      <c r="O49" s="382"/>
      <c r="P49" s="382"/>
      <c r="Q49" s="382"/>
      <c r="R49" s="382"/>
      <c r="S49" s="382"/>
      <c r="T49" s="382"/>
      <c r="U49" s="382"/>
      <c r="V49" s="382"/>
      <c r="W49" s="382"/>
      <c r="X49" s="382"/>
      <c r="Y49" s="382"/>
      <c r="Z49" s="382"/>
      <c r="AA49" s="382"/>
      <c r="AB49" s="382"/>
      <c r="AC49" s="382"/>
      <c r="AD49" s="382"/>
      <c r="AE49" s="382"/>
      <c r="AF49" s="382"/>
      <c r="AG49" s="382"/>
      <c r="AH49" s="382"/>
    </row>
    <row r="50" spans="1:34" x14ac:dyDescent="0.25">
      <c r="A50" s="382"/>
      <c r="B50" s="382"/>
      <c r="C50" s="382"/>
      <c r="D50" s="382"/>
      <c r="E50" s="382"/>
      <c r="F50" s="382"/>
      <c r="G50" s="382"/>
      <c r="H50" s="382"/>
      <c r="I50" s="382"/>
      <c r="J50" s="382"/>
      <c r="K50" s="382"/>
      <c r="L50" s="382"/>
      <c r="M50" s="382"/>
      <c r="N50" s="382"/>
      <c r="O50" s="382"/>
      <c r="P50" s="382"/>
      <c r="Q50" s="382"/>
      <c r="R50" s="382"/>
      <c r="S50" s="382"/>
      <c r="T50" s="382"/>
      <c r="U50" s="382"/>
      <c r="V50" s="382"/>
      <c r="W50" s="382"/>
      <c r="X50" s="382"/>
      <c r="Y50" s="382"/>
      <c r="Z50" s="382"/>
      <c r="AA50" s="382"/>
      <c r="AB50" s="382"/>
      <c r="AC50" s="382"/>
      <c r="AD50" s="382"/>
      <c r="AE50" s="382"/>
      <c r="AF50" s="382"/>
      <c r="AG50" s="382"/>
      <c r="AH50" s="382"/>
    </row>
    <row r="51" spans="1:34" x14ac:dyDescent="0.25">
      <c r="A51" s="382"/>
      <c r="B51" s="382"/>
      <c r="C51" s="382"/>
      <c r="D51" s="382"/>
      <c r="E51" s="382"/>
      <c r="F51" s="382"/>
      <c r="G51" s="382"/>
      <c r="H51" s="382"/>
      <c r="I51" s="382"/>
      <c r="J51" s="382"/>
      <c r="K51" s="382"/>
      <c r="L51" s="382"/>
      <c r="M51" s="382"/>
      <c r="N51" s="382"/>
      <c r="O51" s="382"/>
      <c r="P51" s="382"/>
      <c r="Q51" s="382"/>
      <c r="R51" s="382"/>
      <c r="S51" s="382"/>
      <c r="T51" s="382"/>
      <c r="U51" s="382"/>
      <c r="V51" s="382"/>
      <c r="W51" s="382"/>
      <c r="X51" s="382"/>
      <c r="Y51" s="382"/>
      <c r="Z51" s="382"/>
      <c r="AA51" s="382"/>
      <c r="AB51" s="382"/>
      <c r="AC51" s="382"/>
      <c r="AD51" s="382"/>
      <c r="AE51" s="382"/>
      <c r="AF51" s="382"/>
      <c r="AG51" s="382"/>
      <c r="AH51" s="382"/>
    </row>
    <row r="52" spans="1:34" x14ac:dyDescent="0.25">
      <c r="A52" s="382"/>
      <c r="B52" s="382"/>
      <c r="C52" s="382"/>
      <c r="D52" s="382"/>
      <c r="E52" s="382"/>
      <c r="F52" s="382"/>
      <c r="G52" s="382"/>
      <c r="H52" s="382"/>
      <c r="I52" s="382"/>
      <c r="J52" s="382"/>
      <c r="K52" s="382"/>
      <c r="L52" s="382"/>
      <c r="M52" s="382"/>
      <c r="N52" s="382"/>
      <c r="O52" s="382"/>
      <c r="P52" s="382"/>
      <c r="Q52" s="382"/>
      <c r="R52" s="382"/>
      <c r="S52" s="382"/>
      <c r="T52" s="382"/>
      <c r="U52" s="382"/>
      <c r="V52" s="382"/>
      <c r="W52" s="382"/>
      <c r="X52" s="382"/>
      <c r="Y52" s="382"/>
      <c r="Z52" s="382"/>
      <c r="AA52" s="382"/>
      <c r="AB52" s="382"/>
      <c r="AC52" s="382"/>
      <c r="AD52" s="382"/>
      <c r="AE52" s="382"/>
      <c r="AF52" s="382"/>
      <c r="AG52" s="382"/>
      <c r="AH52" s="382"/>
    </row>
    <row r="53" spans="1:34" x14ac:dyDescent="0.25">
      <c r="A53" s="382"/>
      <c r="B53" s="382"/>
      <c r="C53" s="382"/>
      <c r="D53" s="382"/>
      <c r="E53" s="382"/>
      <c r="F53" s="382"/>
      <c r="G53" s="382"/>
      <c r="H53" s="382"/>
      <c r="I53" s="382"/>
      <c r="J53" s="382"/>
      <c r="K53" s="382"/>
      <c r="L53" s="382"/>
      <c r="M53" s="382"/>
      <c r="N53" s="382"/>
      <c r="O53" s="382"/>
      <c r="P53" s="382"/>
      <c r="Q53" s="382"/>
      <c r="R53" s="382"/>
      <c r="S53" s="382"/>
      <c r="T53" s="382"/>
      <c r="U53" s="382"/>
      <c r="V53" s="382"/>
      <c r="W53" s="382"/>
      <c r="X53" s="382"/>
      <c r="Y53" s="382"/>
      <c r="Z53" s="382"/>
      <c r="AA53" s="382"/>
      <c r="AB53" s="382"/>
      <c r="AC53" s="382"/>
      <c r="AD53" s="382"/>
      <c r="AE53" s="382"/>
      <c r="AF53" s="382"/>
      <c r="AG53" s="382"/>
      <c r="AH53" s="382"/>
    </row>
    <row r="54" spans="1:34" x14ac:dyDescent="0.25">
      <c r="A54" s="382"/>
      <c r="B54" s="382"/>
      <c r="C54" s="382"/>
      <c r="D54" s="382"/>
      <c r="E54" s="382"/>
      <c r="F54" s="382"/>
      <c r="G54" s="382"/>
      <c r="H54" s="382"/>
      <c r="I54" s="382"/>
      <c r="J54" s="382"/>
      <c r="K54" s="382"/>
      <c r="L54" s="382"/>
      <c r="M54" s="382"/>
      <c r="N54" s="382"/>
      <c r="O54" s="382"/>
      <c r="P54" s="382"/>
      <c r="Q54" s="382"/>
      <c r="R54" s="382"/>
      <c r="S54" s="382"/>
      <c r="T54" s="382"/>
      <c r="U54" s="382"/>
      <c r="V54" s="382"/>
      <c r="W54" s="382"/>
      <c r="X54" s="382"/>
      <c r="Y54" s="382"/>
      <c r="Z54" s="382"/>
      <c r="AA54" s="382"/>
      <c r="AB54" s="382"/>
      <c r="AC54" s="382"/>
      <c r="AD54" s="382"/>
      <c r="AE54" s="382"/>
      <c r="AF54" s="382"/>
      <c r="AG54" s="382"/>
      <c r="AH54" s="382"/>
    </row>
    <row r="55" spans="1:34" x14ac:dyDescent="0.25">
      <c r="A55" s="382"/>
      <c r="B55" s="382"/>
      <c r="C55" s="382"/>
      <c r="D55" s="382"/>
      <c r="E55" s="382"/>
      <c r="F55" s="382"/>
      <c r="G55" s="382"/>
      <c r="H55" s="382"/>
      <c r="I55" s="382"/>
      <c r="J55" s="382"/>
      <c r="K55" s="382"/>
      <c r="L55" s="382"/>
      <c r="M55" s="382"/>
      <c r="N55" s="382"/>
      <c r="O55" s="382"/>
      <c r="P55" s="382"/>
      <c r="Q55" s="382"/>
      <c r="R55" s="382"/>
      <c r="S55" s="382"/>
      <c r="T55" s="382"/>
      <c r="U55" s="382"/>
      <c r="V55" s="382"/>
      <c r="W55" s="382"/>
      <c r="X55" s="382"/>
      <c r="Y55" s="382"/>
      <c r="Z55" s="382"/>
      <c r="AA55" s="382"/>
      <c r="AB55" s="382"/>
      <c r="AC55" s="382"/>
      <c r="AD55" s="382"/>
      <c r="AE55" s="382"/>
      <c r="AF55" s="382"/>
      <c r="AG55" s="382"/>
      <c r="AH55" s="382"/>
    </row>
    <row r="56" spans="1:34" x14ac:dyDescent="0.25">
      <c r="A56" s="382"/>
      <c r="B56" s="382"/>
      <c r="C56" s="382"/>
      <c r="D56" s="382"/>
      <c r="E56" s="382"/>
      <c r="F56" s="382"/>
      <c r="G56" s="382"/>
      <c r="H56" s="382"/>
      <c r="I56" s="382"/>
      <c r="J56" s="382"/>
      <c r="K56" s="382"/>
      <c r="L56" s="382"/>
      <c r="M56" s="382"/>
      <c r="N56" s="382"/>
      <c r="O56" s="382"/>
      <c r="P56" s="382"/>
      <c r="Q56" s="382"/>
      <c r="R56" s="382"/>
      <c r="S56" s="382"/>
      <c r="T56" s="382"/>
      <c r="U56" s="382"/>
      <c r="V56" s="382"/>
      <c r="W56" s="382"/>
      <c r="X56" s="382"/>
      <c r="Y56" s="382"/>
      <c r="Z56" s="382"/>
      <c r="AA56" s="382"/>
      <c r="AB56" s="382"/>
      <c r="AC56" s="382"/>
      <c r="AD56" s="382"/>
      <c r="AE56" s="382"/>
      <c r="AF56" s="382"/>
      <c r="AG56" s="382"/>
      <c r="AH56" s="382"/>
    </row>
    <row r="57" spans="1:34" x14ac:dyDescent="0.25">
      <c r="A57" s="382"/>
      <c r="B57" s="382"/>
      <c r="C57" s="382"/>
      <c r="D57" s="382"/>
      <c r="E57" s="382"/>
      <c r="F57" s="382"/>
      <c r="G57" s="382"/>
      <c r="H57" s="382"/>
      <c r="I57" s="382"/>
      <c r="J57" s="382"/>
      <c r="K57" s="382"/>
      <c r="L57" s="382"/>
      <c r="M57" s="382"/>
      <c r="N57" s="382"/>
      <c r="O57" s="382"/>
      <c r="P57" s="382"/>
      <c r="Q57" s="382"/>
      <c r="R57" s="382"/>
      <c r="S57" s="382"/>
      <c r="T57" s="382"/>
      <c r="U57" s="382"/>
      <c r="V57" s="382"/>
      <c r="W57" s="382"/>
      <c r="X57" s="382"/>
      <c r="Y57" s="382"/>
      <c r="Z57" s="382"/>
      <c r="AA57" s="382"/>
      <c r="AB57" s="382"/>
      <c r="AC57" s="382"/>
      <c r="AD57" s="382"/>
      <c r="AE57" s="382"/>
      <c r="AF57" s="382"/>
      <c r="AG57" s="382"/>
      <c r="AH57" s="382"/>
    </row>
    <row r="58" spans="1:34" x14ac:dyDescent="0.25">
      <c r="A58" s="382"/>
      <c r="B58" s="382"/>
      <c r="C58" s="382"/>
      <c r="D58" s="382"/>
      <c r="E58" s="382"/>
      <c r="F58" s="382"/>
      <c r="G58" s="382"/>
      <c r="H58" s="382"/>
      <c r="I58" s="382"/>
      <c r="J58" s="382"/>
      <c r="K58" s="382"/>
      <c r="L58" s="382"/>
      <c r="M58" s="382"/>
      <c r="N58" s="382"/>
      <c r="O58" s="382"/>
      <c r="P58" s="382"/>
      <c r="Q58" s="382"/>
      <c r="R58" s="382"/>
      <c r="S58" s="382"/>
      <c r="T58" s="382"/>
      <c r="U58" s="382"/>
      <c r="V58" s="382"/>
      <c r="W58" s="382"/>
      <c r="X58" s="382"/>
      <c r="Y58" s="382"/>
      <c r="Z58" s="382"/>
      <c r="AA58" s="382"/>
      <c r="AB58" s="382"/>
      <c r="AC58" s="382"/>
      <c r="AD58" s="382"/>
      <c r="AE58" s="382"/>
      <c r="AF58" s="382"/>
      <c r="AG58" s="382"/>
      <c r="AH58" s="382"/>
    </row>
    <row r="59" spans="1:34" x14ac:dyDescent="0.25">
      <c r="A59" s="382"/>
      <c r="B59" s="382"/>
      <c r="C59" s="382"/>
      <c r="D59" s="382"/>
      <c r="E59" s="382"/>
      <c r="F59" s="382"/>
      <c r="G59" s="382"/>
      <c r="H59" s="382"/>
      <c r="I59" s="382"/>
      <c r="J59" s="382"/>
      <c r="K59" s="382"/>
      <c r="L59" s="382"/>
      <c r="M59" s="382"/>
      <c r="N59" s="382"/>
      <c r="O59" s="382"/>
      <c r="P59" s="382"/>
      <c r="Q59" s="382"/>
      <c r="R59" s="382"/>
      <c r="S59" s="382"/>
      <c r="T59" s="382"/>
      <c r="U59" s="382"/>
      <c r="V59" s="382"/>
      <c r="W59" s="382"/>
      <c r="X59" s="382"/>
      <c r="Y59" s="382"/>
      <c r="Z59" s="382"/>
      <c r="AA59" s="382"/>
      <c r="AB59" s="382"/>
      <c r="AC59" s="382"/>
      <c r="AD59" s="382"/>
      <c r="AE59" s="382"/>
      <c r="AF59" s="382"/>
      <c r="AG59" s="382"/>
      <c r="AH59" s="382"/>
    </row>
    <row r="60" spans="1:34" x14ac:dyDescent="0.25">
      <c r="A60" s="382"/>
      <c r="B60" s="382"/>
      <c r="C60" s="382"/>
      <c r="D60" s="382"/>
      <c r="E60" s="382"/>
      <c r="F60" s="382"/>
      <c r="G60" s="382"/>
      <c r="H60" s="382"/>
      <c r="I60" s="382"/>
      <c r="J60" s="382"/>
      <c r="K60" s="382"/>
      <c r="L60" s="382"/>
      <c r="M60" s="382"/>
      <c r="N60" s="382"/>
      <c r="O60" s="382"/>
      <c r="P60" s="382"/>
      <c r="Q60" s="382"/>
      <c r="R60" s="382"/>
      <c r="S60" s="382"/>
      <c r="T60" s="382"/>
      <c r="U60" s="382"/>
      <c r="V60" s="382"/>
      <c r="W60" s="382"/>
      <c r="X60" s="382"/>
      <c r="Y60" s="382"/>
      <c r="Z60" s="382"/>
      <c r="AA60" s="382"/>
      <c r="AB60" s="382"/>
      <c r="AC60" s="382"/>
      <c r="AD60" s="382"/>
      <c r="AE60" s="382"/>
      <c r="AF60" s="382"/>
      <c r="AG60" s="382"/>
      <c r="AH60" s="382"/>
    </row>
    <row r="61" spans="1:34" x14ac:dyDescent="0.25">
      <c r="A61" s="382"/>
      <c r="B61" s="382"/>
      <c r="C61" s="382"/>
      <c r="D61" s="382"/>
      <c r="E61" s="382"/>
      <c r="F61" s="382"/>
      <c r="G61" s="382"/>
      <c r="H61" s="382"/>
      <c r="I61" s="382"/>
      <c r="J61" s="382"/>
      <c r="K61" s="382"/>
      <c r="L61" s="382"/>
      <c r="M61" s="382"/>
      <c r="N61" s="382"/>
      <c r="O61" s="382"/>
      <c r="P61" s="382"/>
      <c r="Q61" s="382"/>
      <c r="R61" s="382"/>
      <c r="S61" s="382"/>
      <c r="T61" s="382"/>
      <c r="U61" s="382"/>
      <c r="V61" s="382"/>
      <c r="W61" s="382"/>
      <c r="X61" s="382"/>
      <c r="Y61" s="382"/>
      <c r="Z61" s="382"/>
      <c r="AA61" s="382"/>
      <c r="AB61" s="382"/>
      <c r="AC61" s="382"/>
      <c r="AD61" s="382"/>
      <c r="AE61" s="382"/>
      <c r="AF61" s="382"/>
      <c r="AG61" s="382"/>
      <c r="AH61" s="382"/>
    </row>
    <row r="62" spans="1:34" x14ac:dyDescent="0.25">
      <c r="A62" s="382"/>
      <c r="B62" s="382"/>
      <c r="C62" s="382"/>
      <c r="D62" s="382"/>
      <c r="E62" s="382"/>
      <c r="F62" s="382"/>
      <c r="G62" s="382"/>
      <c r="H62" s="382"/>
      <c r="I62" s="382"/>
      <c r="J62" s="382"/>
      <c r="K62" s="382"/>
      <c r="L62" s="382"/>
      <c r="M62" s="382"/>
      <c r="N62" s="382"/>
      <c r="O62" s="382"/>
      <c r="P62" s="382"/>
      <c r="Q62" s="382"/>
      <c r="R62" s="382"/>
      <c r="S62" s="382"/>
      <c r="T62" s="382"/>
      <c r="U62" s="382"/>
      <c r="V62" s="382"/>
      <c r="W62" s="382"/>
      <c r="X62" s="382"/>
      <c r="Y62" s="382"/>
      <c r="Z62" s="382"/>
      <c r="AA62" s="382"/>
      <c r="AB62" s="382"/>
      <c r="AC62" s="382"/>
      <c r="AD62" s="382"/>
      <c r="AE62" s="382"/>
      <c r="AF62" s="382"/>
      <c r="AG62" s="382"/>
      <c r="AH62" s="382"/>
    </row>
    <row r="63" spans="1:34" x14ac:dyDescent="0.25">
      <c r="A63" s="382"/>
      <c r="B63" s="382"/>
      <c r="C63" s="382"/>
      <c r="D63" s="382"/>
      <c r="E63" s="382"/>
      <c r="F63" s="382"/>
      <c r="G63" s="382"/>
      <c r="H63" s="382"/>
      <c r="I63" s="382"/>
      <c r="J63" s="382"/>
      <c r="K63" s="382"/>
      <c r="L63" s="382"/>
      <c r="M63" s="382"/>
      <c r="N63" s="382"/>
      <c r="O63" s="382"/>
      <c r="P63" s="382"/>
      <c r="Q63" s="382"/>
      <c r="R63" s="382"/>
      <c r="S63" s="382"/>
      <c r="T63" s="382"/>
      <c r="U63" s="382"/>
      <c r="V63" s="382"/>
      <c r="W63" s="382"/>
      <c r="X63" s="382"/>
      <c r="Y63" s="382"/>
      <c r="Z63" s="382"/>
      <c r="AA63" s="382"/>
      <c r="AB63" s="382"/>
      <c r="AC63" s="382"/>
      <c r="AD63" s="382"/>
      <c r="AE63" s="382"/>
      <c r="AF63" s="382"/>
      <c r="AG63" s="382"/>
      <c r="AH63" s="382"/>
    </row>
    <row r="64" spans="1:34" x14ac:dyDescent="0.25">
      <c r="A64" s="382"/>
      <c r="B64" s="382"/>
      <c r="C64" s="382"/>
      <c r="D64" s="382"/>
      <c r="E64" s="382"/>
      <c r="F64" s="382"/>
      <c r="G64" s="382"/>
      <c r="H64" s="382"/>
      <c r="I64" s="382"/>
      <c r="J64" s="382"/>
      <c r="K64" s="382"/>
      <c r="L64" s="382"/>
      <c r="M64" s="382"/>
      <c r="N64" s="382"/>
      <c r="O64" s="382"/>
      <c r="P64" s="382"/>
      <c r="Q64" s="382"/>
      <c r="R64" s="382"/>
      <c r="S64" s="382"/>
      <c r="T64" s="382"/>
      <c r="U64" s="382"/>
      <c r="V64" s="382"/>
      <c r="W64" s="382"/>
      <c r="X64" s="382"/>
      <c r="Y64" s="382"/>
      <c r="Z64" s="382"/>
      <c r="AA64" s="382"/>
      <c r="AB64" s="382"/>
      <c r="AC64" s="382"/>
      <c r="AD64" s="382"/>
      <c r="AE64" s="382"/>
      <c r="AF64" s="382"/>
      <c r="AG64" s="382"/>
      <c r="AH64" s="382"/>
    </row>
    <row r="65" spans="1:34" x14ac:dyDescent="0.25">
      <c r="A65" s="382"/>
      <c r="B65" s="382"/>
      <c r="C65" s="382"/>
      <c r="D65" s="382"/>
      <c r="E65" s="382"/>
      <c r="F65" s="382"/>
      <c r="G65" s="382"/>
      <c r="H65" s="382"/>
      <c r="I65" s="382"/>
      <c r="J65" s="382"/>
      <c r="K65" s="382"/>
      <c r="L65" s="382"/>
      <c r="M65" s="382"/>
      <c r="N65" s="382"/>
      <c r="O65" s="382"/>
      <c r="P65" s="382"/>
      <c r="Q65" s="382"/>
      <c r="R65" s="382"/>
      <c r="S65" s="382"/>
      <c r="T65" s="382"/>
      <c r="U65" s="382"/>
      <c r="V65" s="382"/>
      <c r="W65" s="382"/>
      <c r="X65" s="382"/>
      <c r="Y65" s="382"/>
      <c r="Z65" s="382"/>
      <c r="AA65" s="382"/>
      <c r="AB65" s="382"/>
      <c r="AC65" s="382"/>
      <c r="AD65" s="382"/>
      <c r="AE65" s="382"/>
      <c r="AF65" s="382"/>
      <c r="AG65" s="382"/>
      <c r="AH65" s="382"/>
    </row>
    <row r="66" spans="1:34" x14ac:dyDescent="0.25">
      <c r="A66" s="382"/>
      <c r="B66" s="382"/>
      <c r="C66" s="382"/>
      <c r="D66" s="382"/>
      <c r="E66" s="382"/>
      <c r="F66" s="382"/>
      <c r="G66" s="382"/>
      <c r="H66" s="382"/>
      <c r="I66" s="382"/>
      <c r="J66" s="382"/>
      <c r="K66" s="382"/>
      <c r="L66" s="382"/>
      <c r="M66" s="382"/>
      <c r="N66" s="382"/>
      <c r="O66" s="382"/>
      <c r="P66" s="382"/>
      <c r="Q66" s="382"/>
      <c r="R66" s="382"/>
      <c r="S66" s="382"/>
      <c r="T66" s="382"/>
      <c r="U66" s="382"/>
      <c r="V66" s="382"/>
      <c r="W66" s="382"/>
      <c r="X66" s="382"/>
      <c r="Y66" s="382"/>
      <c r="Z66" s="382"/>
      <c r="AA66" s="382"/>
      <c r="AB66" s="382"/>
      <c r="AC66" s="382"/>
      <c r="AD66" s="382"/>
      <c r="AE66" s="382"/>
      <c r="AF66" s="382"/>
      <c r="AG66" s="382"/>
      <c r="AH66" s="382"/>
    </row>
    <row r="67" spans="1:34" x14ac:dyDescent="0.25">
      <c r="A67" s="382"/>
      <c r="B67" s="382"/>
      <c r="C67" s="382"/>
      <c r="D67" s="382"/>
      <c r="E67" s="382"/>
      <c r="F67" s="382"/>
      <c r="G67" s="382"/>
      <c r="H67" s="382"/>
      <c r="I67" s="382"/>
      <c r="J67" s="382"/>
      <c r="K67" s="382"/>
      <c r="L67" s="382"/>
      <c r="M67" s="382"/>
      <c r="N67" s="382"/>
      <c r="O67" s="382"/>
      <c r="P67" s="382"/>
      <c r="Q67" s="382"/>
      <c r="R67" s="382"/>
      <c r="S67" s="382"/>
      <c r="T67" s="382"/>
      <c r="U67" s="382"/>
      <c r="V67" s="382"/>
      <c r="W67" s="382"/>
      <c r="X67" s="382"/>
      <c r="Y67" s="382"/>
      <c r="Z67" s="382"/>
      <c r="AA67" s="382"/>
      <c r="AB67" s="382"/>
      <c r="AC67" s="382"/>
      <c r="AD67" s="382"/>
      <c r="AE67" s="382"/>
      <c r="AF67" s="382"/>
      <c r="AG67" s="382"/>
      <c r="AH67" s="382"/>
    </row>
    <row r="68" spans="1:34" x14ac:dyDescent="0.25">
      <c r="A68" s="382"/>
      <c r="B68" s="382"/>
      <c r="C68" s="382"/>
      <c r="D68" s="382"/>
      <c r="E68" s="382"/>
      <c r="F68" s="382"/>
      <c r="G68" s="382"/>
      <c r="H68" s="382"/>
      <c r="I68" s="382"/>
      <c r="J68" s="382"/>
      <c r="K68" s="382"/>
      <c r="L68" s="382"/>
      <c r="M68" s="382"/>
      <c r="N68" s="382"/>
      <c r="O68" s="382"/>
      <c r="P68" s="382"/>
      <c r="Q68" s="382"/>
      <c r="R68" s="382"/>
      <c r="S68" s="382"/>
      <c r="T68" s="382"/>
      <c r="U68" s="382"/>
      <c r="V68" s="382"/>
      <c r="W68" s="382"/>
      <c r="X68" s="382"/>
      <c r="Y68" s="382"/>
      <c r="Z68" s="382"/>
      <c r="AA68" s="382"/>
      <c r="AB68" s="382"/>
      <c r="AC68" s="382"/>
      <c r="AD68" s="382"/>
      <c r="AE68" s="382"/>
      <c r="AF68" s="382"/>
      <c r="AG68" s="382"/>
      <c r="AH68" s="382"/>
    </row>
    <row r="69" spans="1:34" x14ac:dyDescent="0.25">
      <c r="A69" s="382"/>
      <c r="B69" s="382"/>
      <c r="C69" s="382"/>
      <c r="D69" s="382"/>
      <c r="E69" s="382"/>
      <c r="F69" s="382"/>
      <c r="G69" s="382"/>
      <c r="H69" s="382"/>
      <c r="I69" s="382"/>
      <c r="J69" s="382"/>
      <c r="K69" s="382"/>
      <c r="L69" s="382"/>
      <c r="M69" s="382"/>
      <c r="N69" s="382"/>
      <c r="O69" s="382"/>
      <c r="P69" s="382"/>
      <c r="Q69" s="382"/>
      <c r="R69" s="382"/>
      <c r="S69" s="382"/>
      <c r="T69" s="382"/>
      <c r="U69" s="382"/>
      <c r="V69" s="382"/>
      <c r="W69" s="382"/>
      <c r="X69" s="382"/>
      <c r="Y69" s="382"/>
      <c r="Z69" s="382"/>
      <c r="AA69" s="382"/>
      <c r="AB69" s="382"/>
      <c r="AC69" s="382"/>
      <c r="AD69" s="382"/>
      <c r="AE69" s="382"/>
      <c r="AF69" s="382"/>
      <c r="AG69" s="382"/>
      <c r="AH69" s="382"/>
    </row>
    <row r="70" spans="1:34" x14ac:dyDescent="0.25">
      <c r="A70" s="382"/>
      <c r="B70" s="382"/>
      <c r="C70" s="382"/>
      <c r="D70" s="382"/>
      <c r="E70" s="382"/>
      <c r="F70" s="382"/>
      <c r="G70" s="382"/>
      <c r="H70" s="382"/>
      <c r="I70" s="382"/>
      <c r="J70" s="382"/>
      <c r="K70" s="382"/>
      <c r="L70" s="382"/>
      <c r="M70" s="382"/>
      <c r="N70" s="382"/>
      <c r="O70" s="382"/>
      <c r="P70" s="382"/>
      <c r="Q70" s="382"/>
      <c r="R70" s="382"/>
      <c r="S70" s="382"/>
      <c r="T70" s="382"/>
      <c r="U70" s="382"/>
      <c r="V70" s="382"/>
      <c r="W70" s="382"/>
      <c r="X70" s="382"/>
      <c r="Y70" s="382"/>
      <c r="Z70" s="382"/>
      <c r="AA70" s="382"/>
      <c r="AB70" s="382"/>
      <c r="AC70" s="382"/>
      <c r="AD70" s="382"/>
      <c r="AE70" s="382"/>
      <c r="AF70" s="382"/>
      <c r="AG70" s="382"/>
      <c r="AH70" s="382"/>
    </row>
    <row r="71" spans="1:34" x14ac:dyDescent="0.25">
      <c r="A71" s="382"/>
      <c r="B71" s="382"/>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82"/>
      <c r="AE71" s="382"/>
      <c r="AF71" s="382"/>
      <c r="AG71" s="382"/>
      <c r="AH71" s="382"/>
    </row>
    <row r="72" spans="1:34" x14ac:dyDescent="0.25">
      <c r="A72" s="382"/>
      <c r="B72" s="382"/>
      <c r="C72" s="382"/>
      <c r="D72" s="382"/>
      <c r="E72" s="382"/>
      <c r="F72" s="382"/>
      <c r="G72" s="382"/>
      <c r="H72" s="382"/>
      <c r="I72" s="382"/>
      <c r="J72" s="382"/>
      <c r="K72" s="382"/>
      <c r="L72" s="382"/>
      <c r="M72" s="382"/>
      <c r="N72" s="382"/>
      <c r="O72" s="382"/>
      <c r="P72" s="382"/>
      <c r="Q72" s="382"/>
      <c r="R72" s="382"/>
      <c r="S72" s="382"/>
      <c r="T72" s="382"/>
      <c r="U72" s="382"/>
      <c r="V72" s="382"/>
      <c r="W72" s="382"/>
      <c r="X72" s="382"/>
      <c r="Y72" s="382"/>
      <c r="Z72" s="382"/>
      <c r="AA72" s="382"/>
      <c r="AB72" s="382"/>
      <c r="AC72" s="382"/>
      <c r="AD72" s="382"/>
      <c r="AE72" s="382"/>
      <c r="AF72" s="382"/>
      <c r="AG72" s="382"/>
      <c r="AH72" s="382"/>
    </row>
    <row r="73" spans="1:34" x14ac:dyDescent="0.25">
      <c r="A73" s="382"/>
      <c r="B73" s="382"/>
      <c r="C73" s="382"/>
      <c r="D73" s="382"/>
      <c r="E73" s="382"/>
      <c r="F73" s="382"/>
      <c r="G73" s="382"/>
      <c r="H73" s="382"/>
      <c r="I73" s="382"/>
      <c r="J73" s="382"/>
      <c r="K73" s="382"/>
      <c r="L73" s="382"/>
      <c r="M73" s="382"/>
      <c r="N73" s="382"/>
      <c r="O73" s="382"/>
      <c r="P73" s="382"/>
      <c r="Q73" s="382"/>
      <c r="R73" s="382"/>
      <c r="S73" s="382"/>
      <c r="T73" s="382"/>
      <c r="U73" s="382"/>
      <c r="V73" s="382"/>
      <c r="W73" s="382"/>
      <c r="X73" s="382"/>
      <c r="Y73" s="382"/>
      <c r="Z73" s="382"/>
      <c r="AA73" s="382"/>
      <c r="AB73" s="382"/>
      <c r="AC73" s="382"/>
      <c r="AD73" s="382"/>
      <c r="AE73" s="382"/>
      <c r="AF73" s="382"/>
      <c r="AG73" s="382"/>
      <c r="AH73" s="382"/>
    </row>
    <row r="74" spans="1:34" x14ac:dyDescent="0.25">
      <c r="A74" s="382"/>
      <c r="B74" s="382"/>
      <c r="C74" s="382"/>
      <c r="D74" s="382"/>
      <c r="E74" s="382"/>
      <c r="F74" s="382"/>
      <c r="G74" s="382"/>
      <c r="H74" s="382"/>
      <c r="I74" s="382"/>
      <c r="J74" s="382"/>
      <c r="K74" s="382"/>
      <c r="L74" s="382"/>
      <c r="M74" s="382"/>
      <c r="N74" s="382"/>
      <c r="O74" s="382"/>
      <c r="P74" s="382"/>
      <c r="Q74" s="382"/>
      <c r="R74" s="382"/>
      <c r="S74" s="382"/>
      <c r="T74" s="382"/>
      <c r="U74" s="382"/>
      <c r="V74" s="382"/>
      <c r="W74" s="382"/>
      <c r="X74" s="382"/>
      <c r="Y74" s="382"/>
      <c r="Z74" s="382"/>
      <c r="AA74" s="382"/>
      <c r="AB74" s="382"/>
      <c r="AC74" s="382"/>
      <c r="AD74" s="382"/>
      <c r="AE74" s="382"/>
      <c r="AF74" s="382"/>
      <c r="AG74" s="382"/>
      <c r="AH74" s="382"/>
    </row>
    <row r="75" spans="1:34" x14ac:dyDescent="0.25">
      <c r="A75" s="382"/>
      <c r="B75" s="382"/>
      <c r="C75" s="382"/>
      <c r="D75" s="382"/>
      <c r="E75" s="382"/>
      <c r="F75" s="382"/>
      <c r="G75" s="382"/>
      <c r="H75" s="382"/>
      <c r="I75" s="382"/>
      <c r="J75" s="382"/>
      <c r="K75" s="382"/>
      <c r="L75" s="382"/>
      <c r="M75" s="382"/>
      <c r="N75" s="382"/>
      <c r="O75" s="382"/>
      <c r="P75" s="382"/>
      <c r="Q75" s="382"/>
      <c r="R75" s="382"/>
      <c r="S75" s="382"/>
      <c r="T75" s="382"/>
      <c r="U75" s="382"/>
      <c r="V75" s="382"/>
      <c r="W75" s="382"/>
      <c r="X75" s="382"/>
      <c r="Y75" s="382"/>
      <c r="Z75" s="382"/>
      <c r="AA75" s="382"/>
      <c r="AB75" s="382"/>
      <c r="AC75" s="382"/>
      <c r="AD75" s="382"/>
      <c r="AE75" s="382"/>
      <c r="AF75" s="382"/>
      <c r="AG75" s="382"/>
      <c r="AH75" s="382"/>
    </row>
    <row r="76" spans="1:34" x14ac:dyDescent="0.25">
      <c r="A76" s="382"/>
      <c r="B76" s="382"/>
      <c r="C76" s="382"/>
      <c r="D76" s="382"/>
      <c r="E76" s="382"/>
      <c r="F76" s="382"/>
      <c r="G76" s="382"/>
      <c r="H76" s="382"/>
      <c r="I76" s="382"/>
      <c r="J76" s="382"/>
      <c r="K76" s="382"/>
      <c r="L76" s="382"/>
      <c r="M76" s="382"/>
      <c r="N76" s="382"/>
      <c r="O76" s="382"/>
      <c r="P76" s="382"/>
      <c r="Q76" s="382"/>
      <c r="R76" s="382"/>
      <c r="S76" s="382"/>
      <c r="T76" s="382"/>
      <c r="U76" s="382"/>
      <c r="V76" s="382"/>
      <c r="W76" s="382"/>
      <c r="X76" s="382"/>
      <c r="Y76" s="382"/>
      <c r="Z76" s="382"/>
      <c r="AA76" s="382"/>
      <c r="AB76" s="382"/>
      <c r="AC76" s="382"/>
      <c r="AD76" s="382"/>
      <c r="AE76" s="382"/>
      <c r="AF76" s="382"/>
      <c r="AG76" s="382"/>
      <c r="AH76" s="382"/>
    </row>
    <row r="77" spans="1:34" x14ac:dyDescent="0.25">
      <c r="A77" s="382"/>
      <c r="B77" s="382"/>
      <c r="C77" s="382"/>
      <c r="D77" s="382"/>
      <c r="E77" s="382"/>
      <c r="F77" s="382"/>
      <c r="G77" s="382"/>
      <c r="H77" s="382"/>
      <c r="I77" s="382"/>
      <c r="J77" s="382"/>
      <c r="K77" s="382"/>
      <c r="L77" s="382"/>
      <c r="M77" s="382"/>
      <c r="N77" s="382"/>
      <c r="O77" s="382"/>
      <c r="P77" s="382"/>
      <c r="Q77" s="382"/>
      <c r="R77" s="382"/>
      <c r="S77" s="382"/>
      <c r="T77" s="382"/>
      <c r="U77" s="382"/>
      <c r="V77" s="382"/>
      <c r="W77" s="382"/>
      <c r="X77" s="382"/>
      <c r="Y77" s="382"/>
      <c r="Z77" s="382"/>
      <c r="AA77" s="382"/>
      <c r="AB77" s="382"/>
      <c r="AC77" s="382"/>
      <c r="AD77" s="382"/>
      <c r="AE77" s="382"/>
      <c r="AF77" s="382"/>
      <c r="AG77" s="382"/>
      <c r="AH77" s="382"/>
    </row>
    <row r="78" spans="1:34" x14ac:dyDescent="0.25">
      <c r="A78" s="382"/>
      <c r="B78" s="382"/>
      <c r="C78" s="382"/>
      <c r="D78" s="382"/>
      <c r="E78" s="382"/>
      <c r="F78" s="382"/>
      <c r="G78" s="382"/>
      <c r="H78" s="382"/>
      <c r="I78" s="382"/>
      <c r="J78" s="382"/>
      <c r="K78" s="382"/>
      <c r="L78" s="382"/>
      <c r="M78" s="382"/>
      <c r="N78" s="382"/>
      <c r="O78" s="382"/>
      <c r="P78" s="382"/>
      <c r="Q78" s="382"/>
      <c r="R78" s="382"/>
      <c r="S78" s="382"/>
      <c r="T78" s="382"/>
      <c r="U78" s="382"/>
      <c r="V78" s="382"/>
      <c r="W78" s="382"/>
      <c r="X78" s="382"/>
      <c r="Y78" s="382"/>
      <c r="Z78" s="382"/>
      <c r="AA78" s="382"/>
      <c r="AB78" s="382"/>
      <c r="AC78" s="382"/>
      <c r="AD78" s="382"/>
      <c r="AE78" s="382"/>
      <c r="AF78" s="382"/>
      <c r="AG78" s="382"/>
      <c r="AH78" s="382"/>
    </row>
    <row r="79" spans="1:34" x14ac:dyDescent="0.25">
      <c r="A79" s="382"/>
      <c r="B79" s="382"/>
      <c r="C79" s="382"/>
      <c r="D79" s="382"/>
      <c r="E79" s="382"/>
      <c r="F79" s="382"/>
      <c r="G79" s="382"/>
      <c r="H79" s="382"/>
      <c r="I79" s="382"/>
      <c r="J79" s="382"/>
      <c r="K79" s="382"/>
      <c r="L79" s="382"/>
      <c r="M79" s="382"/>
      <c r="N79" s="382"/>
      <c r="O79" s="382"/>
      <c r="P79" s="382"/>
      <c r="Q79" s="382"/>
      <c r="R79" s="382"/>
      <c r="S79" s="382"/>
      <c r="T79" s="382"/>
      <c r="U79" s="382"/>
      <c r="V79" s="382"/>
      <c r="W79" s="382"/>
      <c r="X79" s="382"/>
      <c r="Y79" s="382"/>
      <c r="Z79" s="382"/>
      <c r="AA79" s="382"/>
      <c r="AB79" s="382"/>
      <c r="AC79" s="382"/>
      <c r="AD79" s="382"/>
      <c r="AE79" s="382"/>
      <c r="AF79" s="382"/>
      <c r="AG79" s="382"/>
      <c r="AH79" s="382"/>
    </row>
    <row r="80" spans="1:34" x14ac:dyDescent="0.25">
      <c r="A80" s="382"/>
      <c r="B80" s="382"/>
      <c r="C80" s="382"/>
      <c r="D80" s="382"/>
      <c r="E80" s="382"/>
      <c r="F80" s="382"/>
      <c r="G80" s="382"/>
      <c r="H80" s="382"/>
      <c r="I80" s="382"/>
      <c r="J80" s="382"/>
      <c r="K80" s="382"/>
      <c r="L80" s="382"/>
      <c r="M80" s="382"/>
      <c r="N80" s="382"/>
      <c r="O80" s="382"/>
      <c r="P80" s="382"/>
      <c r="Q80" s="382"/>
      <c r="R80" s="382"/>
      <c r="S80" s="382"/>
      <c r="T80" s="382"/>
      <c r="U80" s="382"/>
      <c r="V80" s="382"/>
      <c r="W80" s="382"/>
      <c r="X80" s="382"/>
      <c r="Y80" s="382"/>
      <c r="Z80" s="382"/>
      <c r="AA80" s="382"/>
      <c r="AB80" s="382"/>
      <c r="AC80" s="382"/>
      <c r="AD80" s="382"/>
      <c r="AE80" s="382"/>
      <c r="AF80" s="382"/>
      <c r="AG80" s="382"/>
      <c r="AH80" s="382"/>
    </row>
  </sheetData>
  <sheetProtection algorithmName="SHA-512" hashValue="mMNfb9/nuC34qi+Q9tLgSIK9e6OzcKw5F9qPLbexLhP+z3n25GQVDI1Ct6Ixf+fghLrSFeyXyrmP+mumBHG4SA==" saltValue="8pOdII9qW5oazVRa+/39yA==" spinCount="100000" sheet="1" objects="1" scenarios="1" selectLockedCells="1" selectUnlockedCells="1"/>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Z45"/>
  <sheetViews>
    <sheetView showGridLines="0" topLeftCell="A20" zoomScaleNormal="100" workbookViewId="0">
      <selection activeCell="K33" sqref="K33"/>
    </sheetView>
  </sheetViews>
  <sheetFormatPr defaultColWidth="8.85546875" defaultRowHeight="15" x14ac:dyDescent="0.25"/>
  <cols>
    <col min="1" max="1" width="3.140625" customWidth="1"/>
    <col min="2" max="3" width="35.42578125" customWidth="1"/>
    <col min="10" max="10" width="13.42578125" customWidth="1"/>
    <col min="11" max="11" width="14.140625" customWidth="1"/>
    <col min="12" max="12" width="13.28515625" bestFit="1" customWidth="1"/>
    <col min="13" max="13" width="12.7109375" customWidth="1"/>
    <col min="14" max="52" width="11.42578125" bestFit="1" customWidth="1"/>
  </cols>
  <sheetData>
    <row r="1" spans="1:52" s="351" customFormat="1" ht="176.1" customHeight="1" x14ac:dyDescent="0.25">
      <c r="J1" s="351" t="s">
        <v>1029</v>
      </c>
      <c r="K1" s="351" t="s">
        <v>1030</v>
      </c>
      <c r="L1" s="351" t="s">
        <v>1031</v>
      </c>
      <c r="M1" s="351" t="s">
        <v>24</v>
      </c>
      <c r="N1" s="351" t="s">
        <v>25</v>
      </c>
      <c r="O1" s="351" t="s">
        <v>26</v>
      </c>
      <c r="P1" s="351" t="s">
        <v>27</v>
      </c>
      <c r="Q1" s="351" t="s">
        <v>28</v>
      </c>
      <c r="R1" s="351" t="s">
        <v>29</v>
      </c>
      <c r="S1" s="351" t="s">
        <v>30</v>
      </c>
      <c r="T1" s="351" t="s">
        <v>31</v>
      </c>
      <c r="U1" s="351" t="s">
        <v>32</v>
      </c>
      <c r="V1" s="351" t="s">
        <v>33</v>
      </c>
      <c r="W1" s="351" t="s">
        <v>34</v>
      </c>
      <c r="X1" s="351" t="s">
        <v>35</v>
      </c>
      <c r="Y1" s="351" t="s">
        <v>36</v>
      </c>
      <c r="Z1" s="351" t="s">
        <v>37</v>
      </c>
      <c r="AA1" s="351" t="s">
        <v>38</v>
      </c>
      <c r="AB1" s="351" t="s">
        <v>39</v>
      </c>
      <c r="AC1" s="351" t="s">
        <v>40</v>
      </c>
      <c r="AD1" s="351" t="s">
        <v>41</v>
      </c>
      <c r="AE1" s="351" t="s">
        <v>42</v>
      </c>
      <c r="AF1" s="351" t="s">
        <v>43</v>
      </c>
      <c r="AG1" s="351" t="s">
        <v>44</v>
      </c>
      <c r="AH1" s="351" t="s">
        <v>45</v>
      </c>
      <c r="AI1" s="351" t="s">
        <v>46</v>
      </c>
      <c r="AJ1" s="351" t="s">
        <v>47</v>
      </c>
      <c r="AK1" s="351" t="s">
        <v>48</v>
      </c>
      <c r="AL1" s="351" t="s">
        <v>49</v>
      </c>
      <c r="AM1" s="351" t="s">
        <v>50</v>
      </c>
      <c r="AN1" s="351" t="s">
        <v>51</v>
      </c>
      <c r="AO1" s="351" t="s">
        <v>52</v>
      </c>
      <c r="AP1" s="351" t="s">
        <v>53</v>
      </c>
      <c r="AQ1" s="351" t="s">
        <v>54</v>
      </c>
      <c r="AR1" s="351" t="s">
        <v>55</v>
      </c>
      <c r="AS1" s="351" t="s">
        <v>56</v>
      </c>
      <c r="AT1" s="351" t="s">
        <v>57</v>
      </c>
      <c r="AU1" s="351" t="s">
        <v>58</v>
      </c>
      <c r="AV1" s="351" t="s">
        <v>59</v>
      </c>
      <c r="AW1" s="351" t="s">
        <v>60</v>
      </c>
      <c r="AX1" s="351" t="s">
        <v>61</v>
      </c>
      <c r="AY1" s="351" t="s">
        <v>62</v>
      </c>
      <c r="AZ1" s="351" t="s">
        <v>63</v>
      </c>
    </row>
    <row r="2" spans="1:52" x14ac:dyDescent="0.25">
      <c r="B2" s="425" t="s">
        <v>1032</v>
      </c>
      <c r="C2" s="425"/>
      <c r="D2" s="425"/>
      <c r="E2" s="426"/>
      <c r="F2" s="426"/>
      <c r="G2" s="427"/>
      <c r="H2" s="428"/>
      <c r="I2" s="10"/>
      <c r="J2" s="429"/>
      <c r="K2" s="429"/>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row>
    <row r="3" spans="1:52" s="477" customFormat="1" x14ac:dyDescent="0.25">
      <c r="B3" s="555" t="s">
        <v>1034</v>
      </c>
      <c r="C3" s="555"/>
      <c r="D3" s="555" t="s">
        <v>249</v>
      </c>
      <c r="E3" s="484"/>
      <c r="F3" s="484"/>
      <c r="G3" s="483"/>
      <c r="H3" s="556"/>
      <c r="J3" s="475">
        <f>IF(AND(K3&gt;0,'Social Infrastructure'!$B$85&gt;0),K3/'Social Infrastructure'!$B$85,0)</f>
        <v>0</v>
      </c>
      <c r="K3" s="475">
        <f>AVERAGE(M3:AZ3)</f>
        <v>0</v>
      </c>
      <c r="L3" s="475">
        <f>SUM(M3:AZ3)</f>
        <v>0</v>
      </c>
      <c r="M3" s="475">
        <f>'Social Infrastructure'!N47</f>
        <v>0</v>
      </c>
      <c r="N3" s="475">
        <f>'Social Infrastructure'!O47</f>
        <v>0</v>
      </c>
      <c r="O3" s="475">
        <f>'Social Infrastructure'!P47</f>
        <v>0</v>
      </c>
      <c r="P3" s="475">
        <f>'Social Infrastructure'!Q47</f>
        <v>0</v>
      </c>
      <c r="Q3" s="475">
        <f>'Social Infrastructure'!R47</f>
        <v>0</v>
      </c>
      <c r="R3" s="475">
        <f>'Social Infrastructure'!S47</f>
        <v>0</v>
      </c>
      <c r="S3" s="475">
        <f>'Social Infrastructure'!T47</f>
        <v>0</v>
      </c>
      <c r="T3" s="475">
        <f>'Social Infrastructure'!U47</f>
        <v>0</v>
      </c>
      <c r="U3" s="475">
        <f>'Social Infrastructure'!V47</f>
        <v>0</v>
      </c>
      <c r="V3" s="475">
        <f>'Social Infrastructure'!W47</f>
        <v>0</v>
      </c>
      <c r="W3" s="475">
        <f>'Social Infrastructure'!X47</f>
        <v>0</v>
      </c>
      <c r="X3" s="475">
        <f>'Social Infrastructure'!Y47</f>
        <v>0</v>
      </c>
      <c r="Y3" s="475">
        <f>'Social Infrastructure'!Z47</f>
        <v>0</v>
      </c>
      <c r="Z3" s="475">
        <f>'Social Infrastructure'!AA47</f>
        <v>0</v>
      </c>
      <c r="AA3" s="475">
        <f>'Social Infrastructure'!AB47</f>
        <v>0</v>
      </c>
      <c r="AB3" s="475">
        <f>'Social Infrastructure'!AC47</f>
        <v>0</v>
      </c>
      <c r="AC3" s="475">
        <f>'Social Infrastructure'!AD47</f>
        <v>0</v>
      </c>
      <c r="AD3" s="475">
        <f>'Social Infrastructure'!AE47</f>
        <v>0</v>
      </c>
      <c r="AE3" s="475">
        <f>'Social Infrastructure'!AF47</f>
        <v>0</v>
      </c>
      <c r="AF3" s="475">
        <f>'Social Infrastructure'!AG47</f>
        <v>0</v>
      </c>
      <c r="AG3" s="475">
        <f>'Social Infrastructure'!AH47</f>
        <v>0</v>
      </c>
      <c r="AH3" s="475">
        <f>'Social Infrastructure'!AI47</f>
        <v>0</v>
      </c>
      <c r="AI3" s="475">
        <f>'Social Infrastructure'!AJ47</f>
        <v>0</v>
      </c>
      <c r="AJ3" s="475">
        <f>'Social Infrastructure'!AK47</f>
        <v>0</v>
      </c>
      <c r="AK3" s="475">
        <f>'Social Infrastructure'!AL47</f>
        <v>0</v>
      </c>
      <c r="AL3" s="475">
        <f>'Social Infrastructure'!AM47</f>
        <v>0</v>
      </c>
      <c r="AM3" s="475">
        <f>'Social Infrastructure'!AN47</f>
        <v>0</v>
      </c>
      <c r="AN3" s="475">
        <f>'Social Infrastructure'!AO47</f>
        <v>0</v>
      </c>
      <c r="AO3" s="475">
        <f>'Social Infrastructure'!AP47</f>
        <v>0</v>
      </c>
      <c r="AP3" s="475">
        <f>'Social Infrastructure'!AQ47</f>
        <v>0</v>
      </c>
      <c r="AQ3" s="475">
        <f>'Social Infrastructure'!AR47</f>
        <v>0</v>
      </c>
      <c r="AR3" s="475">
        <f>'Social Infrastructure'!AS47</f>
        <v>0</v>
      </c>
      <c r="AS3" s="475">
        <f>'Social Infrastructure'!AT47</f>
        <v>0</v>
      </c>
      <c r="AT3" s="475">
        <f>'Social Infrastructure'!AU47</f>
        <v>0</v>
      </c>
      <c r="AU3" s="475">
        <f>'Social Infrastructure'!AV47</f>
        <v>0</v>
      </c>
      <c r="AV3" s="475">
        <f>'Social Infrastructure'!AW47</f>
        <v>0</v>
      </c>
      <c r="AW3" s="475">
        <f>'Social Infrastructure'!AX47</f>
        <v>0</v>
      </c>
      <c r="AX3" s="475">
        <f>'Social Infrastructure'!AY47</f>
        <v>0</v>
      </c>
      <c r="AY3" s="475">
        <f>'Social Infrastructure'!AZ47</f>
        <v>0</v>
      </c>
      <c r="AZ3" s="475">
        <f>'Social Infrastructure'!BA47</f>
        <v>0</v>
      </c>
    </row>
    <row r="4" spans="1:52" s="477" customFormat="1" x14ac:dyDescent="0.25">
      <c r="B4" s="555" t="s">
        <v>1035</v>
      </c>
      <c r="C4" s="555"/>
      <c r="D4" s="555" t="s">
        <v>70</v>
      </c>
      <c r="E4" s="484"/>
      <c r="F4" s="484"/>
      <c r="G4" s="483"/>
      <c r="H4" s="556"/>
      <c r="J4" s="475">
        <f>IF(AND(K4&gt;0, 'Social Infrastructure'!$B$85&gt;0),K4/'Social Infrastructure'!$B$85,0)</f>
        <v>0</v>
      </c>
      <c r="K4" s="475">
        <f>AVERAGE(M4:AZ4)</f>
        <v>0</v>
      </c>
      <c r="L4" s="475">
        <f>SUM(M4:AZ4)</f>
        <v>0</v>
      </c>
      <c r="M4" s="475">
        <f>'Social Infrastructure'!N48</f>
        <v>0</v>
      </c>
      <c r="N4" s="475">
        <f>'Social Infrastructure'!O48</f>
        <v>0</v>
      </c>
      <c r="O4" s="475">
        <f>'Social Infrastructure'!P48</f>
        <v>0</v>
      </c>
      <c r="P4" s="475">
        <f>'Social Infrastructure'!Q48</f>
        <v>0</v>
      </c>
      <c r="Q4" s="475">
        <f>'Social Infrastructure'!R48</f>
        <v>0</v>
      </c>
      <c r="R4" s="475">
        <f>'Social Infrastructure'!S48</f>
        <v>0</v>
      </c>
      <c r="S4" s="475">
        <f>'Social Infrastructure'!T48</f>
        <v>0</v>
      </c>
      <c r="T4" s="475">
        <f>'Social Infrastructure'!U48</f>
        <v>0</v>
      </c>
      <c r="U4" s="475">
        <f>'Social Infrastructure'!V48</f>
        <v>0</v>
      </c>
      <c r="V4" s="475">
        <f>'Social Infrastructure'!W48</f>
        <v>0</v>
      </c>
      <c r="W4" s="475">
        <f>'Social Infrastructure'!X48</f>
        <v>0</v>
      </c>
      <c r="X4" s="475">
        <f>'Social Infrastructure'!Y48</f>
        <v>0</v>
      </c>
      <c r="Y4" s="475">
        <f>'Social Infrastructure'!Z48</f>
        <v>0</v>
      </c>
      <c r="Z4" s="475">
        <f>'Social Infrastructure'!AA48</f>
        <v>0</v>
      </c>
      <c r="AA4" s="475">
        <f>'Social Infrastructure'!AB48</f>
        <v>0</v>
      </c>
      <c r="AB4" s="475">
        <f>'Social Infrastructure'!AC48</f>
        <v>0</v>
      </c>
      <c r="AC4" s="475">
        <f>'Social Infrastructure'!AD48</f>
        <v>0</v>
      </c>
      <c r="AD4" s="475">
        <f>'Social Infrastructure'!AE48</f>
        <v>0</v>
      </c>
      <c r="AE4" s="475">
        <f>'Social Infrastructure'!AF48</f>
        <v>0</v>
      </c>
      <c r="AF4" s="475">
        <f>'Social Infrastructure'!AG48</f>
        <v>0</v>
      </c>
      <c r="AG4" s="475">
        <f>'Social Infrastructure'!AH48</f>
        <v>0</v>
      </c>
      <c r="AH4" s="475">
        <f>'Social Infrastructure'!AI48</f>
        <v>0</v>
      </c>
      <c r="AI4" s="475">
        <f>'Social Infrastructure'!AJ48</f>
        <v>0</v>
      </c>
      <c r="AJ4" s="475">
        <f>'Social Infrastructure'!AK48</f>
        <v>0</v>
      </c>
      <c r="AK4" s="475">
        <f>'Social Infrastructure'!AL48</f>
        <v>0</v>
      </c>
      <c r="AL4" s="475">
        <f>'Social Infrastructure'!AM48</f>
        <v>0</v>
      </c>
      <c r="AM4" s="475">
        <f>'Social Infrastructure'!AN48</f>
        <v>0</v>
      </c>
      <c r="AN4" s="475">
        <f>'Social Infrastructure'!AO48</f>
        <v>0</v>
      </c>
      <c r="AO4" s="475">
        <f>'Social Infrastructure'!AP48</f>
        <v>0</v>
      </c>
      <c r="AP4" s="475">
        <f>'Social Infrastructure'!AQ48</f>
        <v>0</v>
      </c>
      <c r="AQ4" s="475">
        <f>'Social Infrastructure'!AR48</f>
        <v>0</v>
      </c>
      <c r="AR4" s="475">
        <f>'Social Infrastructure'!AS48</f>
        <v>0</v>
      </c>
      <c r="AS4" s="475">
        <f>'Social Infrastructure'!AT48</f>
        <v>0</v>
      </c>
      <c r="AT4" s="475">
        <f>'Social Infrastructure'!AU48</f>
        <v>0</v>
      </c>
      <c r="AU4" s="475">
        <f>'Social Infrastructure'!AV48</f>
        <v>0</v>
      </c>
      <c r="AV4" s="475">
        <f>'Social Infrastructure'!AW48</f>
        <v>0</v>
      </c>
      <c r="AW4" s="475">
        <f>'Social Infrastructure'!AX48</f>
        <v>0</v>
      </c>
      <c r="AX4" s="475">
        <f>'Social Infrastructure'!AY48</f>
        <v>0</v>
      </c>
      <c r="AY4" s="475">
        <f>'Social Infrastructure'!AZ48</f>
        <v>0</v>
      </c>
      <c r="AZ4" s="475">
        <f>'Social Infrastructure'!BA48</f>
        <v>0</v>
      </c>
    </row>
    <row r="5" spans="1:52" s="477" customFormat="1" x14ac:dyDescent="0.25">
      <c r="B5" s="555" t="s">
        <v>1138</v>
      </c>
      <c r="C5" s="555"/>
      <c r="D5" s="555" t="s">
        <v>70</v>
      </c>
      <c r="E5" s="555"/>
      <c r="F5" s="555"/>
      <c r="G5" s="555"/>
      <c r="H5" s="555"/>
      <c r="J5" s="475">
        <f>IF(AND(K5&gt;0, 'Social Infrastructure'!$B$85&gt;0),K5/'Social Infrastructure'!$B$85,0)</f>
        <v>0</v>
      </c>
      <c r="K5" s="475">
        <f>AVERAGE(M5:AZ5)</f>
        <v>0</v>
      </c>
      <c r="L5" s="475">
        <f>SUM(M5:AZ5)</f>
        <v>0</v>
      </c>
      <c r="M5" s="475">
        <f>'Social Infrastructure'!N64+'Green Infrastructure'!M15</f>
        <v>0</v>
      </c>
      <c r="N5" s="475">
        <f>'Social Infrastructure'!O64+'Green Infrastructure'!N15</f>
        <v>0</v>
      </c>
      <c r="O5" s="475">
        <f>'Social Infrastructure'!P64+'Green Infrastructure'!O15</f>
        <v>0</v>
      </c>
      <c r="P5" s="475">
        <f>'Social Infrastructure'!Q64+'Green Infrastructure'!P15</f>
        <v>0</v>
      </c>
      <c r="Q5" s="475">
        <f>'Social Infrastructure'!R64+'Green Infrastructure'!Q15</f>
        <v>0</v>
      </c>
      <c r="R5" s="475">
        <f>'Social Infrastructure'!S64+'Green Infrastructure'!R15</f>
        <v>0</v>
      </c>
      <c r="S5" s="475">
        <f>'Social Infrastructure'!T64+'Green Infrastructure'!S15</f>
        <v>0</v>
      </c>
      <c r="T5" s="475">
        <f>'Social Infrastructure'!U64+'Green Infrastructure'!T15</f>
        <v>0</v>
      </c>
      <c r="U5" s="475">
        <f>'Social Infrastructure'!V64+'Green Infrastructure'!U15</f>
        <v>0</v>
      </c>
      <c r="V5" s="475">
        <f>'Social Infrastructure'!W64+'Green Infrastructure'!V15</f>
        <v>0</v>
      </c>
      <c r="W5" s="475">
        <f>'Social Infrastructure'!X64+'Green Infrastructure'!W15</f>
        <v>0</v>
      </c>
      <c r="X5" s="475">
        <f>'Social Infrastructure'!Y64+'Green Infrastructure'!X15</f>
        <v>0</v>
      </c>
      <c r="Y5" s="475">
        <f>'Social Infrastructure'!Z64+'Green Infrastructure'!Y15</f>
        <v>0</v>
      </c>
      <c r="Z5" s="475">
        <f>'Social Infrastructure'!AA64+'Green Infrastructure'!Z15</f>
        <v>0</v>
      </c>
      <c r="AA5" s="475">
        <f>'Social Infrastructure'!AB64+'Green Infrastructure'!AA15</f>
        <v>0</v>
      </c>
      <c r="AB5" s="475">
        <f>'Social Infrastructure'!AC64+'Green Infrastructure'!AB15</f>
        <v>0</v>
      </c>
      <c r="AC5" s="475">
        <f>'Social Infrastructure'!AD64+'Green Infrastructure'!AC15</f>
        <v>0</v>
      </c>
      <c r="AD5" s="475">
        <f>'Social Infrastructure'!AE64+'Green Infrastructure'!AD15</f>
        <v>0</v>
      </c>
      <c r="AE5" s="475">
        <f>'Social Infrastructure'!AF64+'Green Infrastructure'!AE15</f>
        <v>0</v>
      </c>
      <c r="AF5" s="475">
        <f>'Social Infrastructure'!AG64+'Green Infrastructure'!AF15</f>
        <v>0</v>
      </c>
      <c r="AG5" s="475">
        <f>'Social Infrastructure'!AH64+'Green Infrastructure'!AG15</f>
        <v>0</v>
      </c>
      <c r="AH5" s="475">
        <f>'Social Infrastructure'!AI64+'Green Infrastructure'!AH15</f>
        <v>0</v>
      </c>
      <c r="AI5" s="475">
        <f>'Social Infrastructure'!AJ64+'Green Infrastructure'!AI15</f>
        <v>0</v>
      </c>
      <c r="AJ5" s="475">
        <f>'Social Infrastructure'!AK64+'Green Infrastructure'!AJ15</f>
        <v>0</v>
      </c>
      <c r="AK5" s="475">
        <f>'Social Infrastructure'!AL64+'Green Infrastructure'!AK15</f>
        <v>0</v>
      </c>
      <c r="AL5" s="475">
        <f>'Social Infrastructure'!AM64+'Green Infrastructure'!AL15</f>
        <v>0</v>
      </c>
      <c r="AM5" s="475">
        <f>'Social Infrastructure'!AN64+'Green Infrastructure'!AM15</f>
        <v>0</v>
      </c>
      <c r="AN5" s="475">
        <f>'Social Infrastructure'!AO64+'Green Infrastructure'!AN15</f>
        <v>0</v>
      </c>
      <c r="AO5" s="475">
        <f>'Social Infrastructure'!AP64+'Green Infrastructure'!AO15</f>
        <v>0</v>
      </c>
      <c r="AP5" s="475">
        <f>'Social Infrastructure'!AQ64+'Green Infrastructure'!AP15</f>
        <v>0</v>
      </c>
      <c r="AQ5" s="475">
        <f>'Social Infrastructure'!AR64+'Green Infrastructure'!AQ15</f>
        <v>0</v>
      </c>
      <c r="AR5" s="475">
        <f>'Social Infrastructure'!AS64+'Green Infrastructure'!AR15</f>
        <v>0</v>
      </c>
      <c r="AS5" s="475">
        <f>'Social Infrastructure'!AT64+'Green Infrastructure'!AS15</f>
        <v>0</v>
      </c>
      <c r="AT5" s="475">
        <f>'Social Infrastructure'!AU64+'Green Infrastructure'!AT15</f>
        <v>0</v>
      </c>
      <c r="AU5" s="475">
        <f>'Social Infrastructure'!AV64+'Green Infrastructure'!AU15</f>
        <v>0</v>
      </c>
      <c r="AV5" s="475">
        <f>'Social Infrastructure'!AW64+'Green Infrastructure'!AV15</f>
        <v>0</v>
      </c>
      <c r="AW5" s="475">
        <f>'Social Infrastructure'!AX64+'Green Infrastructure'!AW15</f>
        <v>0</v>
      </c>
      <c r="AX5" s="475">
        <f>'Social Infrastructure'!AY64+'Green Infrastructure'!AX15</f>
        <v>0</v>
      </c>
      <c r="AY5" s="475">
        <f>'Social Infrastructure'!AZ64+'Green Infrastructure'!AY15</f>
        <v>0</v>
      </c>
      <c r="AZ5" s="475">
        <f>'Social Infrastructure'!BA64+'Green Infrastructure'!AZ15</f>
        <v>0</v>
      </c>
    </row>
    <row r="6" spans="1:52" s="479" customFormat="1" x14ac:dyDescent="0.25">
      <c r="B6" s="557" t="s">
        <v>1139</v>
      </c>
      <c r="C6" s="557"/>
      <c r="D6" s="557" t="s">
        <v>79</v>
      </c>
      <c r="E6" s="557"/>
      <c r="F6" s="557"/>
      <c r="G6" s="557"/>
      <c r="H6" s="557"/>
      <c r="J6" s="476">
        <f>IF(AND(K6&gt;0, 'Social Infrastructure'!$B$85&gt;0),K6/'Social Infrastructure'!$B$85,0)</f>
        <v>0</v>
      </c>
      <c r="K6" s="476">
        <f t="shared" ref="K6" si="0">AVERAGE(M6:AZ6)</f>
        <v>0</v>
      </c>
      <c r="L6" s="476">
        <f t="shared" ref="L6" si="1">SUM(M6:AZ6)</f>
        <v>0</v>
      </c>
      <c r="M6" s="476">
        <f>M3+M5</f>
        <v>0</v>
      </c>
      <c r="N6" s="476">
        <f t="shared" ref="N6:AZ6" si="2">N3+N5</f>
        <v>0</v>
      </c>
      <c r="O6" s="476">
        <f t="shared" si="2"/>
        <v>0</v>
      </c>
      <c r="P6" s="476">
        <f t="shared" si="2"/>
        <v>0</v>
      </c>
      <c r="Q6" s="476">
        <f t="shared" si="2"/>
        <v>0</v>
      </c>
      <c r="R6" s="476">
        <f t="shared" si="2"/>
        <v>0</v>
      </c>
      <c r="S6" s="476">
        <f t="shared" si="2"/>
        <v>0</v>
      </c>
      <c r="T6" s="476">
        <f t="shared" si="2"/>
        <v>0</v>
      </c>
      <c r="U6" s="476">
        <f t="shared" si="2"/>
        <v>0</v>
      </c>
      <c r="V6" s="476">
        <f t="shared" si="2"/>
        <v>0</v>
      </c>
      <c r="W6" s="476">
        <f t="shared" si="2"/>
        <v>0</v>
      </c>
      <c r="X6" s="476">
        <f t="shared" si="2"/>
        <v>0</v>
      </c>
      <c r="Y6" s="476">
        <f t="shared" si="2"/>
        <v>0</v>
      </c>
      <c r="Z6" s="476">
        <f t="shared" si="2"/>
        <v>0</v>
      </c>
      <c r="AA6" s="476">
        <f t="shared" si="2"/>
        <v>0</v>
      </c>
      <c r="AB6" s="476">
        <f t="shared" si="2"/>
        <v>0</v>
      </c>
      <c r="AC6" s="476">
        <f t="shared" si="2"/>
        <v>0</v>
      </c>
      <c r="AD6" s="476">
        <f t="shared" si="2"/>
        <v>0</v>
      </c>
      <c r="AE6" s="476">
        <f t="shared" si="2"/>
        <v>0</v>
      </c>
      <c r="AF6" s="476">
        <f t="shared" si="2"/>
        <v>0</v>
      </c>
      <c r="AG6" s="476">
        <f t="shared" si="2"/>
        <v>0</v>
      </c>
      <c r="AH6" s="476">
        <f t="shared" si="2"/>
        <v>0</v>
      </c>
      <c r="AI6" s="476">
        <f t="shared" si="2"/>
        <v>0</v>
      </c>
      <c r="AJ6" s="476">
        <f t="shared" si="2"/>
        <v>0</v>
      </c>
      <c r="AK6" s="476">
        <f t="shared" si="2"/>
        <v>0</v>
      </c>
      <c r="AL6" s="476">
        <f t="shared" si="2"/>
        <v>0</v>
      </c>
      <c r="AM6" s="476">
        <f t="shared" si="2"/>
        <v>0</v>
      </c>
      <c r="AN6" s="476">
        <f t="shared" si="2"/>
        <v>0</v>
      </c>
      <c r="AO6" s="476">
        <f t="shared" si="2"/>
        <v>0</v>
      </c>
      <c r="AP6" s="476">
        <f t="shared" si="2"/>
        <v>0</v>
      </c>
      <c r="AQ6" s="476">
        <f t="shared" si="2"/>
        <v>0</v>
      </c>
      <c r="AR6" s="476">
        <f t="shared" si="2"/>
        <v>0</v>
      </c>
      <c r="AS6" s="476">
        <f t="shared" si="2"/>
        <v>0</v>
      </c>
      <c r="AT6" s="476">
        <f t="shared" si="2"/>
        <v>0</v>
      </c>
      <c r="AU6" s="476">
        <f t="shared" si="2"/>
        <v>0</v>
      </c>
      <c r="AV6" s="476">
        <f t="shared" si="2"/>
        <v>0</v>
      </c>
      <c r="AW6" s="476">
        <f t="shared" si="2"/>
        <v>0</v>
      </c>
      <c r="AX6" s="476">
        <f t="shared" si="2"/>
        <v>0</v>
      </c>
      <c r="AY6" s="476">
        <f t="shared" si="2"/>
        <v>0</v>
      </c>
      <c r="AZ6" s="476">
        <f t="shared" si="2"/>
        <v>0</v>
      </c>
    </row>
    <row r="7" spans="1:52" s="477" customFormat="1" x14ac:dyDescent="0.25">
      <c r="B7" s="555" t="s">
        <v>1036</v>
      </c>
      <c r="C7" s="555"/>
      <c r="D7" s="555" t="s">
        <v>249</v>
      </c>
      <c r="E7" s="555"/>
      <c r="F7" s="555"/>
      <c r="G7" s="555"/>
      <c r="H7" s="555"/>
      <c r="J7" s="475">
        <f>IF(AND(K7&gt;0, 'Social Infrastructure'!$B$85&gt;0),K7/'Social Infrastructure'!$B$85,0)</f>
        <v>0</v>
      </c>
      <c r="K7" s="475">
        <f t="shared" ref="K7:K10" si="3">L7/40</f>
        <v>0</v>
      </c>
      <c r="L7" s="475">
        <f>NPV('Social Infrastructure'!$C$79,M3:AZ3)</f>
        <v>0</v>
      </c>
      <c r="AZ7" s="478"/>
    </row>
    <row r="8" spans="1:52" s="477" customFormat="1" x14ac:dyDescent="0.25">
      <c r="B8" s="555" t="s">
        <v>1037</v>
      </c>
      <c r="C8" s="555"/>
      <c r="D8" s="555" t="s">
        <v>70</v>
      </c>
      <c r="E8" s="555"/>
      <c r="F8" s="555"/>
      <c r="G8" s="555"/>
      <c r="H8" s="555"/>
      <c r="J8" s="475">
        <f>IF(AND(K8&gt;0, 'Social Infrastructure'!$B$85&gt;0),K8/'Social Infrastructure'!$B$85,0)</f>
        <v>0</v>
      </c>
      <c r="K8" s="475">
        <f t="shared" si="3"/>
        <v>0</v>
      </c>
      <c r="L8" s="475">
        <f>NPV('Social Infrastructure'!$C$79,M4:AZ4)</f>
        <v>0</v>
      </c>
      <c r="AZ8" s="478"/>
    </row>
    <row r="9" spans="1:52" s="477" customFormat="1" x14ac:dyDescent="0.25">
      <c r="B9" s="555" t="s">
        <v>1140</v>
      </c>
      <c r="C9" s="555"/>
      <c r="D9" s="555" t="s">
        <v>70</v>
      </c>
      <c r="E9" s="555"/>
      <c r="F9" s="555"/>
      <c r="G9" s="555"/>
      <c r="H9" s="555"/>
      <c r="J9" s="475">
        <f>IF(AND(K9&gt;0, 'Social Infrastructure'!$B$85&gt;0),K9/'Social Infrastructure'!$B$85,0)</f>
        <v>0</v>
      </c>
      <c r="K9" s="475">
        <f t="shared" si="3"/>
        <v>0</v>
      </c>
      <c r="L9" s="475">
        <f>NPV('Social Infrastructure'!$C$79,M5:AZ5)</f>
        <v>0</v>
      </c>
      <c r="AZ9" s="478"/>
    </row>
    <row r="10" spans="1:52" s="479" customFormat="1" x14ac:dyDescent="0.25">
      <c r="B10" s="557" t="s">
        <v>1141</v>
      </c>
      <c r="C10" s="557"/>
      <c r="D10" s="557" t="s">
        <v>79</v>
      </c>
      <c r="E10" s="557"/>
      <c r="F10" s="557"/>
      <c r="G10" s="557"/>
      <c r="H10" s="557"/>
      <c r="J10" s="476">
        <f>IF(AND(K10&gt;0, 'Social Infrastructure'!$B$85&gt;0),K10/'Social Infrastructure'!$B$85,0)</f>
        <v>0</v>
      </c>
      <c r="K10" s="476">
        <f t="shared" si="3"/>
        <v>0</v>
      </c>
      <c r="L10" s="476">
        <f>NPV('Social Infrastructure'!$C$79,M6:AZ6)</f>
        <v>0</v>
      </c>
      <c r="AZ10" s="480"/>
    </row>
    <row r="11" spans="1:52" s="477" customFormat="1" ht="6.75" customHeight="1" x14ac:dyDescent="0.25">
      <c r="B11" s="481"/>
      <c r="C11" s="481"/>
      <c r="D11" s="481"/>
      <c r="E11" s="558"/>
      <c r="F11" s="559"/>
      <c r="G11" s="560"/>
      <c r="H11" s="481"/>
      <c r="J11" s="481"/>
      <c r="K11" s="481"/>
      <c r="L11" s="481"/>
      <c r="AZ11" s="478"/>
    </row>
    <row r="12" spans="1:52" s="477" customFormat="1" x14ac:dyDescent="0.25">
      <c r="B12" s="557" t="s">
        <v>1033</v>
      </c>
      <c r="C12" s="482"/>
      <c r="D12" s="482"/>
      <c r="E12" s="561"/>
      <c r="F12" s="562"/>
      <c r="G12" s="563"/>
      <c r="H12" s="482"/>
      <c r="J12" s="482"/>
      <c r="K12" s="482"/>
      <c r="L12" s="482"/>
      <c r="M12" s="482"/>
      <c r="N12" s="482"/>
      <c r="O12" s="482"/>
      <c r="P12" s="482"/>
      <c r="Q12" s="482"/>
      <c r="R12" s="482"/>
      <c r="S12" s="482"/>
      <c r="T12" s="482"/>
      <c r="U12" s="482"/>
      <c r="V12" s="482"/>
      <c r="W12" s="482"/>
      <c r="X12" s="482"/>
      <c r="Y12" s="482"/>
      <c r="Z12" s="482"/>
      <c r="AA12" s="482"/>
      <c r="AB12" s="482"/>
      <c r="AC12" s="482"/>
      <c r="AD12" s="482"/>
      <c r="AE12" s="482"/>
      <c r="AF12" s="482"/>
      <c r="AG12" s="482"/>
      <c r="AH12" s="482"/>
      <c r="AI12" s="482"/>
      <c r="AJ12" s="482"/>
      <c r="AK12" s="482"/>
      <c r="AL12" s="482"/>
      <c r="AM12" s="482"/>
      <c r="AN12" s="482"/>
      <c r="AO12" s="482"/>
      <c r="AP12" s="482"/>
      <c r="AQ12" s="482"/>
      <c r="AR12" s="482"/>
      <c r="AS12" s="482"/>
      <c r="AT12" s="482"/>
      <c r="AU12" s="482"/>
      <c r="AV12" s="482"/>
      <c r="AW12" s="482"/>
      <c r="AX12" s="482"/>
      <c r="AY12" s="482"/>
      <c r="AZ12" s="482"/>
    </row>
    <row r="13" spans="1:52" s="564" customFormat="1" x14ac:dyDescent="0.25">
      <c r="A13" s="477"/>
      <c r="B13" s="557" t="s">
        <v>1114</v>
      </c>
      <c r="C13" s="482"/>
      <c r="D13" s="482"/>
      <c r="E13" s="561"/>
      <c r="F13" s="562"/>
      <c r="G13" s="563"/>
      <c r="H13" s="482"/>
      <c r="I13" s="477"/>
      <c r="J13" s="482"/>
      <c r="K13" s="482"/>
      <c r="L13" s="482"/>
      <c r="M13" s="482"/>
      <c r="N13" s="482"/>
      <c r="O13" s="482"/>
      <c r="P13" s="482"/>
      <c r="Q13" s="482"/>
      <c r="R13" s="482"/>
      <c r="S13" s="482"/>
      <c r="T13" s="482"/>
      <c r="U13" s="482"/>
      <c r="V13" s="482"/>
      <c r="W13" s="482"/>
      <c r="X13" s="482"/>
      <c r="Y13" s="482"/>
      <c r="Z13" s="482"/>
      <c r="AA13" s="482"/>
      <c r="AB13" s="482"/>
      <c r="AC13" s="482"/>
      <c r="AD13" s="482"/>
      <c r="AE13" s="482"/>
      <c r="AF13" s="482"/>
      <c r="AG13" s="482"/>
      <c r="AH13" s="482"/>
      <c r="AI13" s="482"/>
      <c r="AJ13" s="482"/>
      <c r="AK13" s="482"/>
      <c r="AL13" s="482"/>
      <c r="AM13" s="482"/>
      <c r="AN13" s="482"/>
      <c r="AO13" s="482"/>
      <c r="AP13" s="482"/>
      <c r="AQ13" s="482"/>
      <c r="AR13" s="482"/>
      <c r="AS13" s="482"/>
      <c r="AT13" s="482"/>
      <c r="AU13" s="482"/>
      <c r="AV13" s="482"/>
      <c r="AW13" s="482"/>
      <c r="AX13" s="482"/>
      <c r="AY13" s="482"/>
      <c r="AZ13" s="482"/>
    </row>
    <row r="14" spans="1:52" s="564" customFormat="1" x14ac:dyDescent="0.25">
      <c r="B14" s="555" t="s">
        <v>1108</v>
      </c>
      <c r="C14" s="555"/>
      <c r="D14" s="555" t="s">
        <v>66</v>
      </c>
      <c r="E14" s="565"/>
      <c r="F14" s="483"/>
      <c r="G14" s="556"/>
      <c r="H14" s="555"/>
      <c r="J14" s="483">
        <f>IFERROR(K14/'Social Infrastructure'!$B$85,0)</f>
        <v>0</v>
      </c>
      <c r="K14" s="483">
        <f t="shared" ref="K14:K15" si="4">AVERAGE(M14:AZ14)</f>
        <v>0</v>
      </c>
      <c r="L14" s="483">
        <f t="shared" ref="L14:L15" si="5">SUM(M14:AZ14)</f>
        <v>0</v>
      </c>
      <c r="M14" s="483">
        <f>'Green Infrastructure'!M42</f>
        <v>0</v>
      </c>
      <c r="N14" s="483">
        <f>'Green Infrastructure'!N42</f>
        <v>0</v>
      </c>
      <c r="O14" s="483">
        <f>'Green Infrastructure'!O42</f>
        <v>0</v>
      </c>
      <c r="P14" s="483">
        <f>'Green Infrastructure'!P42</f>
        <v>0</v>
      </c>
      <c r="Q14" s="483">
        <f>'Green Infrastructure'!Q42</f>
        <v>0</v>
      </c>
      <c r="R14" s="483">
        <f>'Green Infrastructure'!R42</f>
        <v>0</v>
      </c>
      <c r="S14" s="483">
        <f>'Green Infrastructure'!S42</f>
        <v>0</v>
      </c>
      <c r="T14" s="483">
        <f>'Green Infrastructure'!T42</f>
        <v>0</v>
      </c>
      <c r="U14" s="483">
        <f>'Green Infrastructure'!U42</f>
        <v>0</v>
      </c>
      <c r="V14" s="483">
        <f>'Green Infrastructure'!V42</f>
        <v>0</v>
      </c>
      <c r="W14" s="483">
        <f>'Green Infrastructure'!W42</f>
        <v>0</v>
      </c>
      <c r="X14" s="483">
        <f>'Green Infrastructure'!X42</f>
        <v>0</v>
      </c>
      <c r="Y14" s="483">
        <f>'Green Infrastructure'!Y42</f>
        <v>0</v>
      </c>
      <c r="Z14" s="483">
        <f>'Green Infrastructure'!Z42</f>
        <v>0</v>
      </c>
      <c r="AA14" s="483">
        <f>'Green Infrastructure'!AA42</f>
        <v>0</v>
      </c>
      <c r="AB14" s="483">
        <f>'Green Infrastructure'!AB42</f>
        <v>0</v>
      </c>
      <c r="AC14" s="483">
        <f>'Green Infrastructure'!AC42</f>
        <v>0</v>
      </c>
      <c r="AD14" s="483">
        <f>'Green Infrastructure'!AD42</f>
        <v>0</v>
      </c>
      <c r="AE14" s="483">
        <f>'Green Infrastructure'!AE42</f>
        <v>0</v>
      </c>
      <c r="AF14" s="483">
        <f>'Green Infrastructure'!AF42</f>
        <v>0</v>
      </c>
      <c r="AG14" s="483">
        <f>'Green Infrastructure'!AG42</f>
        <v>0</v>
      </c>
      <c r="AH14" s="483">
        <f>'Green Infrastructure'!AH42</f>
        <v>0</v>
      </c>
      <c r="AI14" s="483">
        <f>'Green Infrastructure'!AI42</f>
        <v>0</v>
      </c>
      <c r="AJ14" s="483">
        <f>'Green Infrastructure'!AJ42</f>
        <v>0</v>
      </c>
      <c r="AK14" s="483">
        <f>'Green Infrastructure'!AK42</f>
        <v>0</v>
      </c>
      <c r="AL14" s="483">
        <f>'Green Infrastructure'!AL42</f>
        <v>0</v>
      </c>
      <c r="AM14" s="483">
        <f>'Green Infrastructure'!AM42</f>
        <v>0</v>
      </c>
      <c r="AN14" s="483">
        <f>'Green Infrastructure'!AN42</f>
        <v>0</v>
      </c>
      <c r="AO14" s="483">
        <f>'Green Infrastructure'!AO42</f>
        <v>0</v>
      </c>
      <c r="AP14" s="483">
        <f>'Green Infrastructure'!AP42</f>
        <v>0</v>
      </c>
      <c r="AQ14" s="483">
        <f>'Green Infrastructure'!AQ42</f>
        <v>0</v>
      </c>
      <c r="AR14" s="483">
        <f>'Green Infrastructure'!AR42</f>
        <v>0</v>
      </c>
      <c r="AS14" s="483">
        <f>'Green Infrastructure'!AS42</f>
        <v>0</v>
      </c>
      <c r="AT14" s="483">
        <f>'Green Infrastructure'!AT42</f>
        <v>0</v>
      </c>
      <c r="AU14" s="483">
        <f>'Green Infrastructure'!AU42</f>
        <v>0</v>
      </c>
      <c r="AV14" s="483">
        <f>'Green Infrastructure'!AV42</f>
        <v>0</v>
      </c>
      <c r="AW14" s="483">
        <f>'Green Infrastructure'!AW42</f>
        <v>0</v>
      </c>
      <c r="AX14" s="483">
        <f>'Green Infrastructure'!AX42</f>
        <v>0</v>
      </c>
      <c r="AY14" s="483">
        <f>'Green Infrastructure'!AY42</f>
        <v>0</v>
      </c>
      <c r="AZ14" s="483">
        <f>'Green Infrastructure'!AZ42</f>
        <v>0</v>
      </c>
    </row>
    <row r="15" spans="1:52" s="564" customFormat="1" x14ac:dyDescent="0.25">
      <c r="B15" s="555" t="s">
        <v>1080</v>
      </c>
      <c r="C15" s="555"/>
      <c r="D15" s="555" t="s">
        <v>66</v>
      </c>
      <c r="E15" s="565"/>
      <c r="F15" s="483"/>
      <c r="G15" s="556"/>
      <c r="H15" s="555"/>
      <c r="J15" s="484">
        <f>IFERROR(K15/'Social Infrastructure'!$B$85,0)</f>
        <v>0</v>
      </c>
      <c r="K15" s="484">
        <f t="shared" si="4"/>
        <v>0</v>
      </c>
      <c r="L15" s="484">
        <f t="shared" si="5"/>
        <v>0</v>
      </c>
      <c r="M15" s="484">
        <f>'Green Infrastructure'!M44</f>
        <v>0</v>
      </c>
      <c r="N15" s="484">
        <f>'Green Infrastructure'!N44</f>
        <v>0</v>
      </c>
      <c r="O15" s="484">
        <f>'Green Infrastructure'!O44</f>
        <v>0</v>
      </c>
      <c r="P15" s="484">
        <f>'Green Infrastructure'!P44</f>
        <v>0</v>
      </c>
      <c r="Q15" s="484">
        <f>'Green Infrastructure'!Q44</f>
        <v>0</v>
      </c>
      <c r="R15" s="484">
        <f>'Green Infrastructure'!R44</f>
        <v>0</v>
      </c>
      <c r="S15" s="484">
        <f>'Green Infrastructure'!S44</f>
        <v>0</v>
      </c>
      <c r="T15" s="484">
        <f>'Green Infrastructure'!T44</f>
        <v>0</v>
      </c>
      <c r="U15" s="484">
        <f>'Green Infrastructure'!U44</f>
        <v>0</v>
      </c>
      <c r="V15" s="484">
        <f>'Green Infrastructure'!V44</f>
        <v>0</v>
      </c>
      <c r="W15" s="484">
        <f>'Green Infrastructure'!W44</f>
        <v>0</v>
      </c>
      <c r="X15" s="484">
        <f>'Green Infrastructure'!X44</f>
        <v>0</v>
      </c>
      <c r="Y15" s="484">
        <f>'Green Infrastructure'!Y44</f>
        <v>0</v>
      </c>
      <c r="Z15" s="484">
        <f>'Green Infrastructure'!Z44</f>
        <v>0</v>
      </c>
      <c r="AA15" s="484">
        <f>'Green Infrastructure'!AA44</f>
        <v>0</v>
      </c>
      <c r="AB15" s="484">
        <f>'Green Infrastructure'!AB44</f>
        <v>0</v>
      </c>
      <c r="AC15" s="484">
        <f>'Green Infrastructure'!AC44</f>
        <v>0</v>
      </c>
      <c r="AD15" s="484">
        <f>'Green Infrastructure'!AD44</f>
        <v>0</v>
      </c>
      <c r="AE15" s="484">
        <f>'Green Infrastructure'!AE44</f>
        <v>0</v>
      </c>
      <c r="AF15" s="484">
        <f>'Green Infrastructure'!AF44</f>
        <v>0</v>
      </c>
      <c r="AG15" s="484">
        <f>'Green Infrastructure'!AG44</f>
        <v>0</v>
      </c>
      <c r="AH15" s="484">
        <f>'Green Infrastructure'!AH44</f>
        <v>0</v>
      </c>
      <c r="AI15" s="484">
        <f>'Green Infrastructure'!AI44</f>
        <v>0</v>
      </c>
      <c r="AJ15" s="484">
        <f>'Green Infrastructure'!AJ44</f>
        <v>0</v>
      </c>
      <c r="AK15" s="484">
        <f>'Green Infrastructure'!AK44</f>
        <v>0</v>
      </c>
      <c r="AL15" s="484">
        <f>'Green Infrastructure'!AL44</f>
        <v>0</v>
      </c>
      <c r="AM15" s="484">
        <f>'Green Infrastructure'!AM44</f>
        <v>0</v>
      </c>
      <c r="AN15" s="484">
        <f>'Green Infrastructure'!AN44</f>
        <v>0</v>
      </c>
      <c r="AO15" s="484">
        <f>'Green Infrastructure'!AO44</f>
        <v>0</v>
      </c>
      <c r="AP15" s="484">
        <f>'Green Infrastructure'!AP44</f>
        <v>0</v>
      </c>
      <c r="AQ15" s="484">
        <f>'Green Infrastructure'!AQ44</f>
        <v>0</v>
      </c>
      <c r="AR15" s="484">
        <f>'Green Infrastructure'!AR44</f>
        <v>0</v>
      </c>
      <c r="AS15" s="484">
        <f>'Green Infrastructure'!AS44</f>
        <v>0</v>
      </c>
      <c r="AT15" s="484">
        <f>'Green Infrastructure'!AT44</f>
        <v>0</v>
      </c>
      <c r="AU15" s="484">
        <f>'Green Infrastructure'!AU44</f>
        <v>0</v>
      </c>
      <c r="AV15" s="484">
        <f>'Green Infrastructure'!AV44</f>
        <v>0</v>
      </c>
      <c r="AW15" s="484">
        <f>'Green Infrastructure'!AW44</f>
        <v>0</v>
      </c>
      <c r="AX15" s="484">
        <f>'Green Infrastructure'!AX44</f>
        <v>0</v>
      </c>
      <c r="AY15" s="484">
        <f>'Green Infrastructure'!AY44</f>
        <v>0</v>
      </c>
      <c r="AZ15" s="484">
        <f>'Green Infrastructure'!AZ44</f>
        <v>0</v>
      </c>
    </row>
    <row r="16" spans="1:52" s="566" customFormat="1" x14ac:dyDescent="0.25">
      <c r="B16" s="567" t="s">
        <v>1092</v>
      </c>
      <c r="C16" s="567"/>
      <c r="D16" s="567" t="s">
        <v>66</v>
      </c>
      <c r="E16" s="485"/>
      <c r="F16" s="568"/>
      <c r="G16" s="569"/>
      <c r="H16" s="570"/>
      <c r="I16" s="571"/>
      <c r="J16" s="485">
        <f>IFERROR(K16/'Social Infrastructure'!$B$85,0)</f>
        <v>0</v>
      </c>
      <c r="K16" s="486">
        <f>AVERAGE(M16:AZ16)</f>
        <v>0</v>
      </c>
      <c r="L16" s="486">
        <f>SUM(M16:AZ16)</f>
        <v>0</v>
      </c>
      <c r="M16" s="486">
        <f>'Green Infrastructure'!M49</f>
        <v>0</v>
      </c>
      <c r="N16" s="486">
        <f>'Green Infrastructure'!N49</f>
        <v>0</v>
      </c>
      <c r="O16" s="486">
        <f>'Green Infrastructure'!O49</f>
        <v>0</v>
      </c>
      <c r="P16" s="486">
        <f>'Green Infrastructure'!P49</f>
        <v>0</v>
      </c>
      <c r="Q16" s="486">
        <f>'Green Infrastructure'!Q49</f>
        <v>0</v>
      </c>
      <c r="R16" s="486">
        <f>'Green Infrastructure'!R49</f>
        <v>0</v>
      </c>
      <c r="S16" s="486">
        <f>'Green Infrastructure'!S49</f>
        <v>0</v>
      </c>
      <c r="T16" s="486">
        <f>'Green Infrastructure'!T49</f>
        <v>0</v>
      </c>
      <c r="U16" s="486">
        <f>'Green Infrastructure'!U49</f>
        <v>0</v>
      </c>
      <c r="V16" s="486">
        <f>'Green Infrastructure'!V49</f>
        <v>0</v>
      </c>
      <c r="W16" s="486">
        <f>'Green Infrastructure'!W49</f>
        <v>0</v>
      </c>
      <c r="X16" s="486">
        <f>'Green Infrastructure'!X49</f>
        <v>0</v>
      </c>
      <c r="Y16" s="486">
        <f>'Green Infrastructure'!Y49</f>
        <v>0</v>
      </c>
      <c r="Z16" s="486">
        <f>'Green Infrastructure'!Z49</f>
        <v>0</v>
      </c>
      <c r="AA16" s="486">
        <f>'Green Infrastructure'!AA49</f>
        <v>0</v>
      </c>
      <c r="AB16" s="486">
        <f>'Green Infrastructure'!AB49</f>
        <v>0</v>
      </c>
      <c r="AC16" s="486">
        <f>'Green Infrastructure'!AC49</f>
        <v>0</v>
      </c>
      <c r="AD16" s="486">
        <f>'Green Infrastructure'!AD49</f>
        <v>0</v>
      </c>
      <c r="AE16" s="486">
        <f>'Green Infrastructure'!AE49</f>
        <v>0</v>
      </c>
      <c r="AF16" s="486">
        <f>'Green Infrastructure'!AF49</f>
        <v>0</v>
      </c>
      <c r="AG16" s="486">
        <f>'Green Infrastructure'!AG49</f>
        <v>0</v>
      </c>
      <c r="AH16" s="486">
        <f>'Green Infrastructure'!AH49</f>
        <v>0</v>
      </c>
      <c r="AI16" s="486">
        <f>'Green Infrastructure'!AI49</f>
        <v>0</v>
      </c>
      <c r="AJ16" s="486">
        <f>'Green Infrastructure'!AJ49</f>
        <v>0</v>
      </c>
      <c r="AK16" s="486">
        <f>'Green Infrastructure'!AK49</f>
        <v>0</v>
      </c>
      <c r="AL16" s="486">
        <f>'Green Infrastructure'!AL49</f>
        <v>0</v>
      </c>
      <c r="AM16" s="486">
        <f>'Green Infrastructure'!AM49</f>
        <v>0</v>
      </c>
      <c r="AN16" s="486">
        <f>'Green Infrastructure'!AN49</f>
        <v>0</v>
      </c>
      <c r="AO16" s="486">
        <f>'Green Infrastructure'!AO49</f>
        <v>0</v>
      </c>
      <c r="AP16" s="486">
        <f>'Green Infrastructure'!AP49</f>
        <v>0</v>
      </c>
      <c r="AQ16" s="486">
        <f>'Green Infrastructure'!AQ49</f>
        <v>0</v>
      </c>
      <c r="AR16" s="486">
        <f>'Green Infrastructure'!AR49</f>
        <v>0</v>
      </c>
      <c r="AS16" s="486">
        <f>'Green Infrastructure'!AS49</f>
        <v>0</v>
      </c>
      <c r="AT16" s="486">
        <f>'Green Infrastructure'!AT49</f>
        <v>0</v>
      </c>
      <c r="AU16" s="486">
        <f>'Green Infrastructure'!AU49</f>
        <v>0</v>
      </c>
      <c r="AV16" s="486">
        <f>'Green Infrastructure'!AV49</f>
        <v>0</v>
      </c>
      <c r="AW16" s="486">
        <f>'Green Infrastructure'!AW49</f>
        <v>0</v>
      </c>
      <c r="AX16" s="486">
        <f>'Green Infrastructure'!AX49</f>
        <v>0</v>
      </c>
      <c r="AY16" s="486">
        <f>'Green Infrastructure'!AY49</f>
        <v>0</v>
      </c>
      <c r="AZ16" s="486">
        <f>'Green Infrastructure'!AZ49</f>
        <v>0</v>
      </c>
    </row>
    <row r="17" spans="1:52" s="566" customFormat="1" ht="5.25" customHeight="1" x14ac:dyDescent="0.25">
      <c r="B17" s="572"/>
      <c r="C17" s="572"/>
      <c r="D17" s="572"/>
      <c r="E17" s="487"/>
      <c r="F17" s="573"/>
      <c r="G17" s="574"/>
      <c r="H17" s="575"/>
      <c r="I17" s="571"/>
      <c r="J17" s="487"/>
      <c r="K17" s="488"/>
      <c r="L17" s="489"/>
      <c r="M17" s="488"/>
      <c r="N17" s="488"/>
      <c r="O17" s="488"/>
      <c r="P17" s="488"/>
      <c r="Q17" s="488"/>
      <c r="R17" s="488"/>
      <c r="S17" s="488"/>
      <c r="T17" s="488"/>
      <c r="U17" s="488"/>
      <c r="V17" s="488"/>
      <c r="W17" s="488"/>
      <c r="X17" s="488"/>
      <c r="Y17" s="488"/>
      <c r="Z17" s="488"/>
      <c r="AA17" s="488"/>
      <c r="AB17" s="488"/>
      <c r="AC17" s="488"/>
      <c r="AD17" s="488"/>
      <c r="AE17" s="488"/>
      <c r="AF17" s="488"/>
      <c r="AG17" s="488"/>
      <c r="AH17" s="488"/>
      <c r="AI17" s="488"/>
      <c r="AJ17" s="488"/>
      <c r="AK17" s="488"/>
      <c r="AL17" s="488"/>
      <c r="AM17" s="488"/>
      <c r="AN17" s="488"/>
      <c r="AO17" s="488"/>
      <c r="AP17" s="488"/>
      <c r="AQ17" s="488"/>
      <c r="AR17" s="488"/>
      <c r="AS17" s="488"/>
      <c r="AT17" s="488"/>
      <c r="AU17" s="488"/>
      <c r="AV17" s="488"/>
      <c r="AW17" s="488"/>
      <c r="AX17" s="488"/>
      <c r="AY17" s="488"/>
      <c r="AZ17" s="488"/>
    </row>
    <row r="18" spans="1:52" s="566" customFormat="1" x14ac:dyDescent="0.25">
      <c r="B18" s="576" t="s">
        <v>1113</v>
      </c>
      <c r="C18" s="490"/>
      <c r="D18" s="490"/>
      <c r="E18" s="490"/>
      <c r="F18" s="490"/>
      <c r="G18" s="490"/>
      <c r="H18" s="490"/>
      <c r="I18" s="571"/>
      <c r="J18" s="490"/>
      <c r="K18" s="490"/>
      <c r="L18" s="490"/>
      <c r="M18" s="490"/>
      <c r="N18" s="490"/>
      <c r="O18" s="490"/>
      <c r="P18" s="490"/>
      <c r="Q18" s="490"/>
      <c r="R18" s="490"/>
      <c r="S18" s="490"/>
      <c r="T18" s="490"/>
      <c r="U18" s="490"/>
      <c r="V18" s="490"/>
      <c r="W18" s="490"/>
      <c r="X18" s="490"/>
      <c r="Y18" s="490"/>
      <c r="Z18" s="490"/>
      <c r="AA18" s="490"/>
      <c r="AB18" s="490"/>
      <c r="AC18" s="490"/>
      <c r="AD18" s="490"/>
      <c r="AE18" s="490"/>
      <c r="AF18" s="490"/>
      <c r="AG18" s="490"/>
      <c r="AH18" s="490"/>
      <c r="AI18" s="490"/>
      <c r="AJ18" s="490"/>
      <c r="AK18" s="490"/>
      <c r="AL18" s="490"/>
      <c r="AM18" s="490"/>
      <c r="AN18" s="490"/>
      <c r="AO18" s="490"/>
      <c r="AP18" s="490"/>
      <c r="AQ18" s="490"/>
      <c r="AR18" s="490"/>
      <c r="AS18" s="490"/>
      <c r="AT18" s="490"/>
      <c r="AU18" s="490"/>
      <c r="AV18" s="490"/>
      <c r="AW18" s="490"/>
      <c r="AX18" s="490"/>
      <c r="AY18" s="490"/>
      <c r="AZ18" s="490"/>
    </row>
    <row r="19" spans="1:52" s="577" customFormat="1" x14ac:dyDescent="0.25">
      <c r="B19" s="578" t="s">
        <v>1109</v>
      </c>
      <c r="C19" s="578"/>
      <c r="D19" s="578" t="s">
        <v>66</v>
      </c>
      <c r="E19" s="492"/>
      <c r="F19" s="494"/>
      <c r="G19" s="579"/>
      <c r="H19" s="578"/>
      <c r="J19" s="491">
        <f>IFERROR(K19/'Social Infrastructure'!$B$85,0)</f>
        <v>0</v>
      </c>
      <c r="K19" s="491">
        <f t="shared" ref="K19:K20" si="6">AVERAGE(M19:AZ19)</f>
        <v>0</v>
      </c>
      <c r="L19" s="491">
        <f t="shared" ref="L19:L20" si="7">SUM(M19:AZ19)</f>
        <v>0</v>
      </c>
      <c r="M19" s="491">
        <f>'Green Infrastructure'!M43</f>
        <v>0</v>
      </c>
      <c r="N19" s="491">
        <f>'Green Infrastructure'!N43</f>
        <v>0</v>
      </c>
      <c r="O19" s="491">
        <f>'Green Infrastructure'!O43</f>
        <v>0</v>
      </c>
      <c r="P19" s="491">
        <f>'Green Infrastructure'!P43</f>
        <v>0</v>
      </c>
      <c r="Q19" s="491">
        <f>'Green Infrastructure'!Q43</f>
        <v>0</v>
      </c>
      <c r="R19" s="491">
        <f>'Green Infrastructure'!R43</f>
        <v>0</v>
      </c>
      <c r="S19" s="491">
        <f>'Green Infrastructure'!S43</f>
        <v>0</v>
      </c>
      <c r="T19" s="491">
        <f>'Green Infrastructure'!T43</f>
        <v>0</v>
      </c>
      <c r="U19" s="491">
        <f>'Green Infrastructure'!U43</f>
        <v>0</v>
      </c>
      <c r="V19" s="491">
        <f>'Green Infrastructure'!V43</f>
        <v>0</v>
      </c>
      <c r="W19" s="491">
        <f>'Green Infrastructure'!W43</f>
        <v>0</v>
      </c>
      <c r="X19" s="491">
        <f>'Green Infrastructure'!X43</f>
        <v>0</v>
      </c>
      <c r="Y19" s="491">
        <f>'Green Infrastructure'!Y43</f>
        <v>0</v>
      </c>
      <c r="Z19" s="491">
        <f>'Green Infrastructure'!Z43</f>
        <v>0</v>
      </c>
      <c r="AA19" s="491">
        <f>'Green Infrastructure'!AA43</f>
        <v>0</v>
      </c>
      <c r="AB19" s="491">
        <f>'Green Infrastructure'!AB43</f>
        <v>0</v>
      </c>
      <c r="AC19" s="491">
        <f>'Green Infrastructure'!AC43</f>
        <v>0</v>
      </c>
      <c r="AD19" s="491">
        <f>'Green Infrastructure'!AD43</f>
        <v>0</v>
      </c>
      <c r="AE19" s="491">
        <f>'Green Infrastructure'!AE43</f>
        <v>0</v>
      </c>
      <c r="AF19" s="491">
        <f>'Green Infrastructure'!AF43</f>
        <v>0</v>
      </c>
      <c r="AG19" s="491">
        <f>'Green Infrastructure'!AG43</f>
        <v>0</v>
      </c>
      <c r="AH19" s="491">
        <f>'Green Infrastructure'!AH43</f>
        <v>0</v>
      </c>
      <c r="AI19" s="491">
        <f>'Green Infrastructure'!AI43</f>
        <v>0</v>
      </c>
      <c r="AJ19" s="491">
        <f>'Green Infrastructure'!AJ43</f>
        <v>0</v>
      </c>
      <c r="AK19" s="491">
        <f>'Green Infrastructure'!AK43</f>
        <v>0</v>
      </c>
      <c r="AL19" s="491">
        <f>'Green Infrastructure'!AL43</f>
        <v>0</v>
      </c>
      <c r="AM19" s="491">
        <f>'Green Infrastructure'!AM43</f>
        <v>0</v>
      </c>
      <c r="AN19" s="491">
        <f>'Green Infrastructure'!AN43</f>
        <v>0</v>
      </c>
      <c r="AO19" s="491">
        <f>'Green Infrastructure'!AO43</f>
        <v>0</v>
      </c>
      <c r="AP19" s="491">
        <f>'Green Infrastructure'!AP43</f>
        <v>0</v>
      </c>
      <c r="AQ19" s="491">
        <f>'Green Infrastructure'!AQ43</f>
        <v>0</v>
      </c>
      <c r="AR19" s="491">
        <f>'Green Infrastructure'!AR43</f>
        <v>0</v>
      </c>
      <c r="AS19" s="491">
        <f>'Green Infrastructure'!AS43</f>
        <v>0</v>
      </c>
      <c r="AT19" s="491">
        <f>'Green Infrastructure'!AT43</f>
        <v>0</v>
      </c>
      <c r="AU19" s="491">
        <f>'Green Infrastructure'!AU43</f>
        <v>0</v>
      </c>
      <c r="AV19" s="491">
        <f>'Green Infrastructure'!AV43</f>
        <v>0</v>
      </c>
      <c r="AW19" s="491">
        <f>'Green Infrastructure'!AW43</f>
        <v>0</v>
      </c>
      <c r="AX19" s="491">
        <f>'Green Infrastructure'!AX43</f>
        <v>0</v>
      </c>
      <c r="AY19" s="491">
        <f>'Green Infrastructure'!AY43</f>
        <v>0</v>
      </c>
      <c r="AZ19" s="491">
        <f>'Green Infrastructure'!AZ43</f>
        <v>0</v>
      </c>
    </row>
    <row r="20" spans="1:52" s="577" customFormat="1" x14ac:dyDescent="0.25">
      <c r="B20" s="578" t="s">
        <v>1117</v>
      </c>
      <c r="C20" s="578"/>
      <c r="D20" s="578" t="s">
        <v>66</v>
      </c>
      <c r="E20" s="492"/>
      <c r="F20" s="494"/>
      <c r="G20" s="579"/>
      <c r="H20" s="578"/>
      <c r="J20" s="492">
        <f>IFERROR(K20/'Social Infrastructure'!$B$85,0)</f>
        <v>0</v>
      </c>
      <c r="K20" s="492">
        <f t="shared" si="6"/>
        <v>0</v>
      </c>
      <c r="L20" s="492">
        <f t="shared" si="7"/>
        <v>0</v>
      </c>
      <c r="M20" s="492">
        <f>'Green Infrastructure'!M45</f>
        <v>0</v>
      </c>
      <c r="N20" s="492">
        <f>'Green Infrastructure'!N45</f>
        <v>0</v>
      </c>
      <c r="O20" s="492">
        <f>'Green Infrastructure'!O45</f>
        <v>0</v>
      </c>
      <c r="P20" s="492">
        <f>'Green Infrastructure'!P45</f>
        <v>0</v>
      </c>
      <c r="Q20" s="492">
        <f>'Green Infrastructure'!Q45</f>
        <v>0</v>
      </c>
      <c r="R20" s="492">
        <f>'Green Infrastructure'!R45</f>
        <v>0</v>
      </c>
      <c r="S20" s="492">
        <f>'Green Infrastructure'!S45</f>
        <v>0</v>
      </c>
      <c r="T20" s="492">
        <f>'Green Infrastructure'!T45</f>
        <v>0</v>
      </c>
      <c r="U20" s="492">
        <f>'Green Infrastructure'!U45</f>
        <v>0</v>
      </c>
      <c r="V20" s="492">
        <f>'Green Infrastructure'!V45</f>
        <v>0</v>
      </c>
      <c r="W20" s="492">
        <f>'Green Infrastructure'!W45</f>
        <v>0</v>
      </c>
      <c r="X20" s="492">
        <f>'Green Infrastructure'!X45</f>
        <v>0</v>
      </c>
      <c r="Y20" s="492">
        <f>'Green Infrastructure'!Y45</f>
        <v>0</v>
      </c>
      <c r="Z20" s="492">
        <f>'Green Infrastructure'!Z45</f>
        <v>0</v>
      </c>
      <c r="AA20" s="492">
        <f>'Green Infrastructure'!AA45</f>
        <v>0</v>
      </c>
      <c r="AB20" s="492">
        <f>'Green Infrastructure'!AB45</f>
        <v>0</v>
      </c>
      <c r="AC20" s="492">
        <f>'Green Infrastructure'!AC45</f>
        <v>0</v>
      </c>
      <c r="AD20" s="492">
        <f>'Green Infrastructure'!AD45</f>
        <v>0</v>
      </c>
      <c r="AE20" s="492">
        <f>'Green Infrastructure'!AE45</f>
        <v>0</v>
      </c>
      <c r="AF20" s="492">
        <f>'Green Infrastructure'!AF45</f>
        <v>0</v>
      </c>
      <c r="AG20" s="492">
        <f>'Green Infrastructure'!AG45</f>
        <v>0</v>
      </c>
      <c r="AH20" s="492">
        <f>'Green Infrastructure'!AH45</f>
        <v>0</v>
      </c>
      <c r="AI20" s="492">
        <f>'Green Infrastructure'!AI45</f>
        <v>0</v>
      </c>
      <c r="AJ20" s="492">
        <f>'Green Infrastructure'!AJ45</f>
        <v>0</v>
      </c>
      <c r="AK20" s="492">
        <f>'Green Infrastructure'!AK45</f>
        <v>0</v>
      </c>
      <c r="AL20" s="492">
        <f>'Green Infrastructure'!AL45</f>
        <v>0</v>
      </c>
      <c r="AM20" s="492">
        <f>'Green Infrastructure'!AM45</f>
        <v>0</v>
      </c>
      <c r="AN20" s="492">
        <f>'Green Infrastructure'!AN45</f>
        <v>0</v>
      </c>
      <c r="AO20" s="492">
        <f>'Green Infrastructure'!AO45</f>
        <v>0</v>
      </c>
      <c r="AP20" s="492">
        <f>'Green Infrastructure'!AP45</f>
        <v>0</v>
      </c>
      <c r="AQ20" s="492">
        <f>'Green Infrastructure'!AQ45</f>
        <v>0</v>
      </c>
      <c r="AR20" s="492">
        <f>'Green Infrastructure'!AR45</f>
        <v>0</v>
      </c>
      <c r="AS20" s="492">
        <f>'Green Infrastructure'!AS45</f>
        <v>0</v>
      </c>
      <c r="AT20" s="492">
        <f>'Green Infrastructure'!AT45</f>
        <v>0</v>
      </c>
      <c r="AU20" s="492">
        <f>'Green Infrastructure'!AU45</f>
        <v>0</v>
      </c>
      <c r="AV20" s="492">
        <f>'Green Infrastructure'!AV45</f>
        <v>0</v>
      </c>
      <c r="AW20" s="492">
        <f>'Green Infrastructure'!AW45</f>
        <v>0</v>
      </c>
      <c r="AX20" s="492">
        <f>'Green Infrastructure'!AX45</f>
        <v>0</v>
      </c>
      <c r="AY20" s="492">
        <f>'Green Infrastructure'!AY45</f>
        <v>0</v>
      </c>
      <c r="AZ20" s="492">
        <f>'Green Infrastructure'!AZ45</f>
        <v>0</v>
      </c>
    </row>
    <row r="21" spans="1:52" s="566" customFormat="1" x14ac:dyDescent="0.25">
      <c r="B21" s="578" t="s">
        <v>1079</v>
      </c>
      <c r="C21" s="578"/>
      <c r="D21" s="578" t="s">
        <v>66</v>
      </c>
      <c r="E21" s="492"/>
      <c r="F21" s="494"/>
      <c r="G21" s="579"/>
      <c r="H21" s="580"/>
      <c r="I21" s="571"/>
      <c r="J21" s="492">
        <f>IFERROR(K21/'Social Infrastructure'!$B$85,0)</f>
        <v>0</v>
      </c>
      <c r="K21" s="493">
        <f t="shared" ref="K21" si="8">AVERAGE(M21:AZ21)</f>
        <v>0</v>
      </c>
      <c r="L21" s="493">
        <f t="shared" ref="L21" si="9">SUM(M21:AZ21)</f>
        <v>0</v>
      </c>
      <c r="M21" s="493">
        <f>'Green Infrastructure'!M48</f>
        <v>0</v>
      </c>
      <c r="N21" s="493">
        <f>'Green Infrastructure'!N48</f>
        <v>0</v>
      </c>
      <c r="O21" s="493">
        <f>'Green Infrastructure'!O48</f>
        <v>0</v>
      </c>
      <c r="P21" s="493">
        <f>'Green Infrastructure'!P48</f>
        <v>0</v>
      </c>
      <c r="Q21" s="493">
        <f>'Green Infrastructure'!Q48</f>
        <v>0</v>
      </c>
      <c r="R21" s="493">
        <f>'Green Infrastructure'!R48</f>
        <v>0</v>
      </c>
      <c r="S21" s="493">
        <f>'Green Infrastructure'!S48</f>
        <v>0</v>
      </c>
      <c r="T21" s="493">
        <f>'Green Infrastructure'!T48</f>
        <v>0</v>
      </c>
      <c r="U21" s="493">
        <f>'Green Infrastructure'!U48</f>
        <v>0</v>
      </c>
      <c r="V21" s="493">
        <f>'Green Infrastructure'!V48</f>
        <v>0</v>
      </c>
      <c r="W21" s="493">
        <f>'Green Infrastructure'!W48</f>
        <v>0</v>
      </c>
      <c r="X21" s="493">
        <f>'Green Infrastructure'!X48</f>
        <v>0</v>
      </c>
      <c r="Y21" s="493">
        <f>'Green Infrastructure'!Y48</f>
        <v>0</v>
      </c>
      <c r="Z21" s="493">
        <f>'Green Infrastructure'!Z48</f>
        <v>0</v>
      </c>
      <c r="AA21" s="493">
        <f>'Green Infrastructure'!AA48</f>
        <v>0</v>
      </c>
      <c r="AB21" s="493">
        <f>'Green Infrastructure'!AB48</f>
        <v>0</v>
      </c>
      <c r="AC21" s="493">
        <f>'Green Infrastructure'!AC48</f>
        <v>0</v>
      </c>
      <c r="AD21" s="493">
        <f>'Green Infrastructure'!AD48</f>
        <v>0</v>
      </c>
      <c r="AE21" s="493">
        <f>'Green Infrastructure'!AE48</f>
        <v>0</v>
      </c>
      <c r="AF21" s="493">
        <f>'Green Infrastructure'!AF48</f>
        <v>0</v>
      </c>
      <c r="AG21" s="493">
        <f>'Green Infrastructure'!AG48</f>
        <v>0</v>
      </c>
      <c r="AH21" s="493">
        <f>'Green Infrastructure'!AH48</f>
        <v>0</v>
      </c>
      <c r="AI21" s="493">
        <f>'Green Infrastructure'!AI48</f>
        <v>0</v>
      </c>
      <c r="AJ21" s="493">
        <f>'Green Infrastructure'!AJ48</f>
        <v>0</v>
      </c>
      <c r="AK21" s="493">
        <f>'Green Infrastructure'!AK48</f>
        <v>0</v>
      </c>
      <c r="AL21" s="493">
        <f>'Green Infrastructure'!AL48</f>
        <v>0</v>
      </c>
      <c r="AM21" s="493">
        <f>'Green Infrastructure'!AM48</f>
        <v>0</v>
      </c>
      <c r="AN21" s="493">
        <f>'Green Infrastructure'!AN48</f>
        <v>0</v>
      </c>
      <c r="AO21" s="493">
        <f>'Green Infrastructure'!AO48</f>
        <v>0</v>
      </c>
      <c r="AP21" s="493">
        <f>'Green Infrastructure'!AP48</f>
        <v>0</v>
      </c>
      <c r="AQ21" s="493">
        <f>'Green Infrastructure'!AQ48</f>
        <v>0</v>
      </c>
      <c r="AR21" s="493">
        <f>'Green Infrastructure'!AR48</f>
        <v>0</v>
      </c>
      <c r="AS21" s="493">
        <f>'Green Infrastructure'!AS48</f>
        <v>0</v>
      </c>
      <c r="AT21" s="493">
        <f>'Green Infrastructure'!AT48</f>
        <v>0</v>
      </c>
      <c r="AU21" s="493">
        <f>'Green Infrastructure'!AU48</f>
        <v>0</v>
      </c>
      <c r="AV21" s="493">
        <f>'Green Infrastructure'!AV48</f>
        <v>0</v>
      </c>
      <c r="AW21" s="493">
        <f>'Green Infrastructure'!AW48</f>
        <v>0</v>
      </c>
      <c r="AX21" s="493">
        <f>'Green Infrastructure'!AX48</f>
        <v>0</v>
      </c>
      <c r="AY21" s="493">
        <f>'Green Infrastructure'!AY48</f>
        <v>0</v>
      </c>
      <c r="AZ21" s="493">
        <f>'Green Infrastructure'!AZ48</f>
        <v>0</v>
      </c>
    </row>
    <row r="22" spans="1:52" s="564" customFormat="1" x14ac:dyDescent="0.25">
      <c r="A22" s="477"/>
      <c r="B22" s="581" t="s">
        <v>1115</v>
      </c>
      <c r="C22" s="490"/>
      <c r="D22" s="490"/>
      <c r="E22" s="490"/>
      <c r="F22" s="490"/>
      <c r="G22" s="490"/>
      <c r="H22" s="490"/>
      <c r="I22" s="479"/>
      <c r="J22" s="490"/>
      <c r="K22" s="490"/>
      <c r="L22" s="490"/>
      <c r="M22" s="490"/>
      <c r="N22" s="490"/>
      <c r="O22" s="490"/>
      <c r="P22" s="490"/>
      <c r="Q22" s="490"/>
      <c r="R22" s="490"/>
      <c r="S22" s="490"/>
      <c r="T22" s="490"/>
      <c r="U22" s="490"/>
      <c r="V22" s="490"/>
      <c r="W22" s="490"/>
      <c r="X22" s="490"/>
      <c r="Y22" s="490"/>
      <c r="Z22" s="490"/>
      <c r="AA22" s="490"/>
      <c r="AB22" s="490"/>
      <c r="AC22" s="490"/>
      <c r="AD22" s="490"/>
      <c r="AE22" s="490"/>
      <c r="AF22" s="490"/>
      <c r="AG22" s="490"/>
      <c r="AH22" s="490"/>
      <c r="AI22" s="490"/>
      <c r="AJ22" s="490"/>
      <c r="AK22" s="490"/>
      <c r="AL22" s="490"/>
      <c r="AM22" s="490"/>
      <c r="AN22" s="490"/>
      <c r="AO22" s="490"/>
      <c r="AP22" s="490"/>
      <c r="AQ22" s="490"/>
      <c r="AR22" s="490"/>
      <c r="AS22" s="490"/>
      <c r="AT22" s="490"/>
      <c r="AU22" s="490"/>
      <c r="AV22" s="490"/>
      <c r="AW22" s="490"/>
      <c r="AX22" s="490"/>
      <c r="AY22" s="490"/>
      <c r="AZ22" s="490"/>
    </row>
    <row r="23" spans="1:52" s="566" customFormat="1" x14ac:dyDescent="0.25">
      <c r="B23" s="494" t="s">
        <v>1118</v>
      </c>
      <c r="C23" s="494"/>
      <c r="D23" s="494" t="s">
        <v>66</v>
      </c>
      <c r="E23" s="494"/>
      <c r="F23" s="494"/>
      <c r="G23" s="494"/>
      <c r="H23" s="494"/>
      <c r="J23" s="494">
        <f>IFERROR(K23/'Social Infrastructure'!$B$85,0)</f>
        <v>0</v>
      </c>
      <c r="K23" s="494">
        <f t="shared" ref="K23:K24" si="10">AVERAGE(M23:AZ23)</f>
        <v>0</v>
      </c>
      <c r="L23" s="494">
        <f t="shared" ref="L23:L24" si="11">SUM(M23:AZ23)</f>
        <v>0</v>
      </c>
      <c r="M23" s="494">
        <f>M14+M19</f>
        <v>0</v>
      </c>
      <c r="N23" s="494">
        <f t="shared" ref="N23:AZ23" si="12">N14+N19</f>
        <v>0</v>
      </c>
      <c r="O23" s="494">
        <f t="shared" si="12"/>
        <v>0</v>
      </c>
      <c r="P23" s="494">
        <f t="shared" si="12"/>
        <v>0</v>
      </c>
      <c r="Q23" s="494">
        <f t="shared" si="12"/>
        <v>0</v>
      </c>
      <c r="R23" s="494">
        <f t="shared" si="12"/>
        <v>0</v>
      </c>
      <c r="S23" s="494">
        <f t="shared" si="12"/>
        <v>0</v>
      </c>
      <c r="T23" s="494">
        <f t="shared" si="12"/>
        <v>0</v>
      </c>
      <c r="U23" s="494">
        <f t="shared" si="12"/>
        <v>0</v>
      </c>
      <c r="V23" s="494">
        <f t="shared" si="12"/>
        <v>0</v>
      </c>
      <c r="W23" s="494">
        <f t="shared" si="12"/>
        <v>0</v>
      </c>
      <c r="X23" s="494">
        <f t="shared" si="12"/>
        <v>0</v>
      </c>
      <c r="Y23" s="494">
        <f t="shared" si="12"/>
        <v>0</v>
      </c>
      <c r="Z23" s="494">
        <f t="shared" si="12"/>
        <v>0</v>
      </c>
      <c r="AA23" s="494">
        <f t="shared" si="12"/>
        <v>0</v>
      </c>
      <c r="AB23" s="494">
        <f t="shared" si="12"/>
        <v>0</v>
      </c>
      <c r="AC23" s="494">
        <f t="shared" si="12"/>
        <v>0</v>
      </c>
      <c r="AD23" s="494">
        <f t="shared" si="12"/>
        <v>0</v>
      </c>
      <c r="AE23" s="494">
        <f t="shared" si="12"/>
        <v>0</v>
      </c>
      <c r="AF23" s="494">
        <f t="shared" si="12"/>
        <v>0</v>
      </c>
      <c r="AG23" s="494">
        <f t="shared" si="12"/>
        <v>0</v>
      </c>
      <c r="AH23" s="494">
        <f t="shared" si="12"/>
        <v>0</v>
      </c>
      <c r="AI23" s="494">
        <f t="shared" si="12"/>
        <v>0</v>
      </c>
      <c r="AJ23" s="494">
        <f t="shared" si="12"/>
        <v>0</v>
      </c>
      <c r="AK23" s="494">
        <f t="shared" si="12"/>
        <v>0</v>
      </c>
      <c r="AL23" s="494">
        <f t="shared" si="12"/>
        <v>0</v>
      </c>
      <c r="AM23" s="494">
        <f t="shared" si="12"/>
        <v>0</v>
      </c>
      <c r="AN23" s="494">
        <f t="shared" si="12"/>
        <v>0</v>
      </c>
      <c r="AO23" s="494">
        <f t="shared" si="12"/>
        <v>0</v>
      </c>
      <c r="AP23" s="494">
        <f t="shared" si="12"/>
        <v>0</v>
      </c>
      <c r="AQ23" s="494">
        <f t="shared" si="12"/>
        <v>0</v>
      </c>
      <c r="AR23" s="494">
        <f t="shared" si="12"/>
        <v>0</v>
      </c>
      <c r="AS23" s="494">
        <f t="shared" si="12"/>
        <v>0</v>
      </c>
      <c r="AT23" s="494">
        <f t="shared" si="12"/>
        <v>0</v>
      </c>
      <c r="AU23" s="494">
        <f t="shared" si="12"/>
        <v>0</v>
      </c>
      <c r="AV23" s="494">
        <f t="shared" si="12"/>
        <v>0</v>
      </c>
      <c r="AW23" s="494">
        <f t="shared" si="12"/>
        <v>0</v>
      </c>
      <c r="AX23" s="494">
        <f t="shared" si="12"/>
        <v>0</v>
      </c>
      <c r="AY23" s="494">
        <f t="shared" si="12"/>
        <v>0</v>
      </c>
      <c r="AZ23" s="494">
        <f t="shared" si="12"/>
        <v>0</v>
      </c>
    </row>
    <row r="24" spans="1:52" s="566" customFormat="1" x14ac:dyDescent="0.25">
      <c r="B24" s="494" t="s">
        <v>1119</v>
      </c>
      <c r="C24" s="494"/>
      <c r="D24" s="494" t="s">
        <v>66</v>
      </c>
      <c r="E24" s="494"/>
      <c r="F24" s="494"/>
      <c r="G24" s="494"/>
      <c r="H24" s="494"/>
      <c r="J24" s="492">
        <f>IFERROR(K24/'Social Infrastructure'!$B$85,0)</f>
        <v>0</v>
      </c>
      <c r="K24" s="492">
        <f t="shared" si="10"/>
        <v>0</v>
      </c>
      <c r="L24" s="492">
        <f t="shared" si="11"/>
        <v>0</v>
      </c>
      <c r="M24" s="492">
        <f>M15+M20</f>
        <v>0</v>
      </c>
      <c r="N24" s="492">
        <f t="shared" ref="N24:AZ24" si="13">N15+N20</f>
        <v>0</v>
      </c>
      <c r="O24" s="492">
        <f t="shared" si="13"/>
        <v>0</v>
      </c>
      <c r="P24" s="492">
        <f t="shared" si="13"/>
        <v>0</v>
      </c>
      <c r="Q24" s="492">
        <f t="shared" si="13"/>
        <v>0</v>
      </c>
      <c r="R24" s="492">
        <f t="shared" si="13"/>
        <v>0</v>
      </c>
      <c r="S24" s="492">
        <f t="shared" si="13"/>
        <v>0</v>
      </c>
      <c r="T24" s="492">
        <f t="shared" si="13"/>
        <v>0</v>
      </c>
      <c r="U24" s="492">
        <f t="shared" si="13"/>
        <v>0</v>
      </c>
      <c r="V24" s="492">
        <f t="shared" si="13"/>
        <v>0</v>
      </c>
      <c r="W24" s="492">
        <f t="shared" si="13"/>
        <v>0</v>
      </c>
      <c r="X24" s="492">
        <f t="shared" si="13"/>
        <v>0</v>
      </c>
      <c r="Y24" s="492">
        <f t="shared" si="13"/>
        <v>0</v>
      </c>
      <c r="Z24" s="492">
        <f t="shared" si="13"/>
        <v>0</v>
      </c>
      <c r="AA24" s="492">
        <f t="shared" si="13"/>
        <v>0</v>
      </c>
      <c r="AB24" s="492">
        <f t="shared" si="13"/>
        <v>0</v>
      </c>
      <c r="AC24" s="492">
        <f t="shared" si="13"/>
        <v>0</v>
      </c>
      <c r="AD24" s="492">
        <f t="shared" si="13"/>
        <v>0</v>
      </c>
      <c r="AE24" s="492">
        <f t="shared" si="13"/>
        <v>0</v>
      </c>
      <c r="AF24" s="492">
        <f t="shared" si="13"/>
        <v>0</v>
      </c>
      <c r="AG24" s="492">
        <f t="shared" si="13"/>
        <v>0</v>
      </c>
      <c r="AH24" s="492">
        <f t="shared" si="13"/>
        <v>0</v>
      </c>
      <c r="AI24" s="492">
        <f t="shared" si="13"/>
        <v>0</v>
      </c>
      <c r="AJ24" s="492">
        <f t="shared" si="13"/>
        <v>0</v>
      </c>
      <c r="AK24" s="492">
        <f t="shared" si="13"/>
        <v>0</v>
      </c>
      <c r="AL24" s="492">
        <f t="shared" si="13"/>
        <v>0</v>
      </c>
      <c r="AM24" s="492">
        <f t="shared" si="13"/>
        <v>0</v>
      </c>
      <c r="AN24" s="492">
        <f t="shared" si="13"/>
        <v>0</v>
      </c>
      <c r="AO24" s="492">
        <f t="shared" si="13"/>
        <v>0</v>
      </c>
      <c r="AP24" s="492">
        <f t="shared" si="13"/>
        <v>0</v>
      </c>
      <c r="AQ24" s="492">
        <f t="shared" si="13"/>
        <v>0</v>
      </c>
      <c r="AR24" s="492">
        <f t="shared" si="13"/>
        <v>0</v>
      </c>
      <c r="AS24" s="492">
        <f t="shared" si="13"/>
        <v>0</v>
      </c>
      <c r="AT24" s="492">
        <f t="shared" si="13"/>
        <v>0</v>
      </c>
      <c r="AU24" s="492">
        <f t="shared" si="13"/>
        <v>0</v>
      </c>
      <c r="AV24" s="492">
        <f t="shared" si="13"/>
        <v>0</v>
      </c>
      <c r="AW24" s="492">
        <f t="shared" si="13"/>
        <v>0</v>
      </c>
      <c r="AX24" s="492">
        <f t="shared" si="13"/>
        <v>0</v>
      </c>
      <c r="AY24" s="492">
        <f t="shared" si="13"/>
        <v>0</v>
      </c>
      <c r="AZ24" s="492">
        <f t="shared" si="13"/>
        <v>0</v>
      </c>
    </row>
    <row r="25" spans="1:52" s="566" customFormat="1" x14ac:dyDescent="0.25">
      <c r="B25" s="580" t="s">
        <v>1120</v>
      </c>
      <c r="C25" s="580"/>
      <c r="D25" s="580" t="s">
        <v>66</v>
      </c>
      <c r="E25" s="580"/>
      <c r="F25" s="580"/>
      <c r="G25" s="580"/>
      <c r="H25" s="580"/>
      <c r="I25" s="571"/>
      <c r="J25" s="492">
        <f>IFERROR(K25/'Social Infrastructure'!$B$85,0)</f>
        <v>0</v>
      </c>
      <c r="K25" s="492">
        <f t="shared" ref="K25" si="14">AVERAGE(M25:AZ25)</f>
        <v>0</v>
      </c>
      <c r="L25" s="492">
        <f t="shared" ref="L25" si="15">SUM(M25:AZ25)</f>
        <v>0</v>
      </c>
      <c r="M25" s="492">
        <f t="shared" ref="M25:AZ25" si="16">M21+M16</f>
        <v>0</v>
      </c>
      <c r="N25" s="492">
        <f t="shared" si="16"/>
        <v>0</v>
      </c>
      <c r="O25" s="492">
        <f t="shared" si="16"/>
        <v>0</v>
      </c>
      <c r="P25" s="492">
        <f t="shared" si="16"/>
        <v>0</v>
      </c>
      <c r="Q25" s="492">
        <f t="shared" si="16"/>
        <v>0</v>
      </c>
      <c r="R25" s="492">
        <f t="shared" si="16"/>
        <v>0</v>
      </c>
      <c r="S25" s="492">
        <f t="shared" si="16"/>
        <v>0</v>
      </c>
      <c r="T25" s="492">
        <f t="shared" si="16"/>
        <v>0</v>
      </c>
      <c r="U25" s="492">
        <f t="shared" si="16"/>
        <v>0</v>
      </c>
      <c r="V25" s="492">
        <f t="shared" si="16"/>
        <v>0</v>
      </c>
      <c r="W25" s="492">
        <f t="shared" si="16"/>
        <v>0</v>
      </c>
      <c r="X25" s="492">
        <f t="shared" si="16"/>
        <v>0</v>
      </c>
      <c r="Y25" s="492">
        <f t="shared" si="16"/>
        <v>0</v>
      </c>
      <c r="Z25" s="492">
        <f t="shared" si="16"/>
        <v>0</v>
      </c>
      <c r="AA25" s="492">
        <f t="shared" si="16"/>
        <v>0</v>
      </c>
      <c r="AB25" s="492">
        <f t="shared" si="16"/>
        <v>0</v>
      </c>
      <c r="AC25" s="492">
        <f t="shared" si="16"/>
        <v>0</v>
      </c>
      <c r="AD25" s="492">
        <f t="shared" si="16"/>
        <v>0</v>
      </c>
      <c r="AE25" s="492">
        <f t="shared" si="16"/>
        <v>0</v>
      </c>
      <c r="AF25" s="492">
        <f t="shared" si="16"/>
        <v>0</v>
      </c>
      <c r="AG25" s="492">
        <f t="shared" si="16"/>
        <v>0</v>
      </c>
      <c r="AH25" s="492">
        <f t="shared" si="16"/>
        <v>0</v>
      </c>
      <c r="AI25" s="492">
        <f t="shared" si="16"/>
        <v>0</v>
      </c>
      <c r="AJ25" s="492">
        <f t="shared" si="16"/>
        <v>0</v>
      </c>
      <c r="AK25" s="492">
        <f t="shared" si="16"/>
        <v>0</v>
      </c>
      <c r="AL25" s="492">
        <f t="shared" si="16"/>
        <v>0</v>
      </c>
      <c r="AM25" s="492">
        <f t="shared" si="16"/>
        <v>0</v>
      </c>
      <c r="AN25" s="492">
        <f t="shared" si="16"/>
        <v>0</v>
      </c>
      <c r="AO25" s="492">
        <f t="shared" si="16"/>
        <v>0</v>
      </c>
      <c r="AP25" s="492">
        <f t="shared" si="16"/>
        <v>0</v>
      </c>
      <c r="AQ25" s="492">
        <f t="shared" si="16"/>
        <v>0</v>
      </c>
      <c r="AR25" s="492">
        <f t="shared" si="16"/>
        <v>0</v>
      </c>
      <c r="AS25" s="492">
        <f t="shared" si="16"/>
        <v>0</v>
      </c>
      <c r="AT25" s="492">
        <f t="shared" si="16"/>
        <v>0</v>
      </c>
      <c r="AU25" s="492">
        <f t="shared" si="16"/>
        <v>0</v>
      </c>
      <c r="AV25" s="492">
        <f t="shared" si="16"/>
        <v>0</v>
      </c>
      <c r="AW25" s="492">
        <f t="shared" si="16"/>
        <v>0</v>
      </c>
      <c r="AX25" s="492">
        <f t="shared" si="16"/>
        <v>0</v>
      </c>
      <c r="AY25" s="492">
        <f t="shared" si="16"/>
        <v>0</v>
      </c>
      <c r="AZ25" s="492">
        <f t="shared" si="16"/>
        <v>0</v>
      </c>
    </row>
    <row r="26" spans="1:52" s="477" customFormat="1" x14ac:dyDescent="0.25">
      <c r="B26" s="576" t="s">
        <v>1039</v>
      </c>
      <c r="C26" s="576"/>
      <c r="D26" s="576"/>
      <c r="E26" s="576"/>
      <c r="F26" s="576"/>
      <c r="G26" s="576"/>
      <c r="H26" s="576"/>
      <c r="I26" s="479"/>
      <c r="J26" s="495">
        <f>IFERROR(K26/'Social Infrastructure'!$B$85,0)</f>
        <v>0</v>
      </c>
      <c r="K26" s="495">
        <f>AVERAGE(M26:AZ26)</f>
        <v>0</v>
      </c>
      <c r="L26" s="496">
        <f>SUM(M26:AZ26)</f>
        <v>0</v>
      </c>
      <c r="M26" s="497">
        <f t="shared" ref="M26:AZ26" si="17">M24+M25</f>
        <v>0</v>
      </c>
      <c r="N26" s="497">
        <f t="shared" si="17"/>
        <v>0</v>
      </c>
      <c r="O26" s="497">
        <f t="shared" si="17"/>
        <v>0</v>
      </c>
      <c r="P26" s="497">
        <f t="shared" si="17"/>
        <v>0</v>
      </c>
      <c r="Q26" s="497">
        <f t="shared" si="17"/>
        <v>0</v>
      </c>
      <c r="R26" s="497">
        <f t="shared" si="17"/>
        <v>0</v>
      </c>
      <c r="S26" s="497">
        <f t="shared" si="17"/>
        <v>0</v>
      </c>
      <c r="T26" s="497">
        <f t="shared" si="17"/>
        <v>0</v>
      </c>
      <c r="U26" s="497">
        <f t="shared" si="17"/>
        <v>0</v>
      </c>
      <c r="V26" s="497">
        <f t="shared" si="17"/>
        <v>0</v>
      </c>
      <c r="W26" s="497">
        <f t="shared" si="17"/>
        <v>0</v>
      </c>
      <c r="X26" s="497">
        <f t="shared" si="17"/>
        <v>0</v>
      </c>
      <c r="Y26" s="497">
        <f t="shared" si="17"/>
        <v>0</v>
      </c>
      <c r="Z26" s="497">
        <f t="shared" si="17"/>
        <v>0</v>
      </c>
      <c r="AA26" s="497">
        <f t="shared" si="17"/>
        <v>0</v>
      </c>
      <c r="AB26" s="497">
        <f t="shared" si="17"/>
        <v>0</v>
      </c>
      <c r="AC26" s="497">
        <f t="shared" si="17"/>
        <v>0</v>
      </c>
      <c r="AD26" s="497">
        <f t="shared" si="17"/>
        <v>0</v>
      </c>
      <c r="AE26" s="497">
        <f t="shared" si="17"/>
        <v>0</v>
      </c>
      <c r="AF26" s="497">
        <f t="shared" si="17"/>
        <v>0</v>
      </c>
      <c r="AG26" s="497">
        <f t="shared" si="17"/>
        <v>0</v>
      </c>
      <c r="AH26" s="497">
        <f t="shared" si="17"/>
        <v>0</v>
      </c>
      <c r="AI26" s="497">
        <f t="shared" si="17"/>
        <v>0</v>
      </c>
      <c r="AJ26" s="497">
        <f t="shared" si="17"/>
        <v>0</v>
      </c>
      <c r="AK26" s="497">
        <f t="shared" si="17"/>
        <v>0</v>
      </c>
      <c r="AL26" s="497">
        <f t="shared" si="17"/>
        <v>0</v>
      </c>
      <c r="AM26" s="497">
        <f t="shared" si="17"/>
        <v>0</v>
      </c>
      <c r="AN26" s="497">
        <f t="shared" si="17"/>
        <v>0</v>
      </c>
      <c r="AO26" s="497">
        <f t="shared" si="17"/>
        <v>0</v>
      </c>
      <c r="AP26" s="497">
        <f t="shared" si="17"/>
        <v>0</v>
      </c>
      <c r="AQ26" s="497">
        <f t="shared" si="17"/>
        <v>0</v>
      </c>
      <c r="AR26" s="497">
        <f t="shared" si="17"/>
        <v>0</v>
      </c>
      <c r="AS26" s="497">
        <f t="shared" si="17"/>
        <v>0</v>
      </c>
      <c r="AT26" s="497">
        <f t="shared" si="17"/>
        <v>0</v>
      </c>
      <c r="AU26" s="497">
        <f t="shared" si="17"/>
        <v>0</v>
      </c>
      <c r="AV26" s="497">
        <f t="shared" si="17"/>
        <v>0</v>
      </c>
      <c r="AW26" s="497">
        <f t="shared" si="17"/>
        <v>0</v>
      </c>
      <c r="AX26" s="497">
        <f t="shared" si="17"/>
        <v>0</v>
      </c>
      <c r="AY26" s="497">
        <f t="shared" si="17"/>
        <v>0</v>
      </c>
      <c r="AZ26" s="497">
        <f t="shared" si="17"/>
        <v>0</v>
      </c>
    </row>
    <row r="27" spans="1:52" s="477" customFormat="1" ht="6" customHeight="1" x14ac:dyDescent="0.25">
      <c r="B27" s="506"/>
      <c r="C27" s="506"/>
      <c r="D27" s="506"/>
      <c r="E27" s="506"/>
      <c r="F27" s="506"/>
      <c r="G27" s="506"/>
      <c r="H27" s="506"/>
      <c r="I27" s="479"/>
      <c r="J27" s="498"/>
      <c r="K27" s="498"/>
      <c r="L27" s="499"/>
      <c r="M27" s="500"/>
      <c r="N27" s="500"/>
      <c r="O27" s="500"/>
      <c r="P27" s="500"/>
      <c r="Q27" s="500"/>
      <c r="R27" s="500"/>
      <c r="S27" s="500"/>
      <c r="T27" s="500"/>
      <c r="U27" s="500"/>
      <c r="V27" s="500"/>
      <c r="W27" s="500"/>
      <c r="X27" s="500"/>
      <c r="Y27" s="500"/>
      <c r="Z27" s="500"/>
      <c r="AA27" s="500"/>
      <c r="AB27" s="500"/>
      <c r="AC27" s="500"/>
      <c r="AD27" s="500"/>
      <c r="AE27" s="500"/>
      <c r="AF27" s="500"/>
      <c r="AG27" s="500"/>
      <c r="AH27" s="500"/>
      <c r="AI27" s="500"/>
      <c r="AJ27" s="500"/>
      <c r="AK27" s="500"/>
      <c r="AL27" s="500"/>
      <c r="AM27" s="500"/>
      <c r="AN27" s="500"/>
      <c r="AO27" s="500"/>
      <c r="AP27" s="500"/>
      <c r="AQ27" s="500"/>
      <c r="AR27" s="500"/>
      <c r="AS27" s="500"/>
      <c r="AT27" s="500"/>
      <c r="AU27" s="500"/>
      <c r="AV27" s="500"/>
      <c r="AW27" s="500"/>
      <c r="AX27" s="500"/>
      <c r="AY27" s="500"/>
      <c r="AZ27" s="500"/>
    </row>
    <row r="28" spans="1:52" s="477" customFormat="1" x14ac:dyDescent="0.25">
      <c r="B28" s="557" t="s">
        <v>1122</v>
      </c>
      <c r="C28" s="557"/>
      <c r="D28" s="557"/>
      <c r="E28" s="557"/>
      <c r="F28" s="557"/>
      <c r="G28" s="557"/>
      <c r="H28" s="557"/>
      <c r="I28" s="479"/>
      <c r="J28" s="501"/>
      <c r="K28" s="501"/>
      <c r="L28" s="502"/>
      <c r="M28" s="500"/>
      <c r="N28" s="500"/>
      <c r="O28" s="500"/>
      <c r="P28" s="500"/>
      <c r="Q28" s="500"/>
      <c r="R28" s="500"/>
      <c r="S28" s="500"/>
      <c r="T28" s="500"/>
      <c r="U28" s="500"/>
      <c r="V28" s="500"/>
      <c r="W28" s="500"/>
      <c r="X28" s="500"/>
      <c r="Y28" s="500"/>
      <c r="Z28" s="500"/>
      <c r="AA28" s="500"/>
      <c r="AB28" s="500"/>
      <c r="AC28" s="500"/>
      <c r="AD28" s="500"/>
      <c r="AE28" s="500"/>
      <c r="AF28" s="500"/>
      <c r="AG28" s="500"/>
      <c r="AH28" s="500"/>
      <c r="AI28" s="500"/>
      <c r="AJ28" s="500"/>
      <c r="AK28" s="500"/>
      <c r="AL28" s="500"/>
      <c r="AM28" s="500"/>
      <c r="AN28" s="500"/>
      <c r="AO28" s="500"/>
      <c r="AP28" s="500"/>
      <c r="AQ28" s="500"/>
      <c r="AR28" s="500"/>
      <c r="AS28" s="500"/>
      <c r="AT28" s="500"/>
      <c r="AU28" s="500"/>
      <c r="AV28" s="500"/>
      <c r="AW28" s="500"/>
      <c r="AX28" s="500"/>
      <c r="AY28" s="500"/>
      <c r="AZ28" s="500"/>
    </row>
    <row r="29" spans="1:52" s="477" customFormat="1" x14ac:dyDescent="0.25">
      <c r="B29" s="555" t="s">
        <v>1081</v>
      </c>
      <c r="C29" s="582"/>
      <c r="D29" s="555" t="s">
        <v>66</v>
      </c>
      <c r="E29" s="582"/>
      <c r="F29" s="582"/>
      <c r="G29" s="582"/>
      <c r="H29" s="582"/>
      <c r="I29" s="479"/>
      <c r="J29" s="475">
        <f>IFERROR(K29/'Social Infrastructure'!$B$85,0)</f>
        <v>0</v>
      </c>
      <c r="K29" s="475">
        <f t="shared" ref="K29:K38" si="18">L29/40</f>
        <v>0</v>
      </c>
      <c r="L29" s="475">
        <f>NPV('Social Infrastructure'!$C$79,M15:AZ15)</f>
        <v>0</v>
      </c>
      <c r="M29" s="500"/>
      <c r="N29" s="500"/>
      <c r="O29" s="500"/>
      <c r="P29" s="500"/>
      <c r="Q29" s="500"/>
      <c r="R29" s="500"/>
      <c r="S29" s="500"/>
      <c r="T29" s="500"/>
      <c r="U29" s="500"/>
      <c r="V29" s="500"/>
      <c r="W29" s="500"/>
      <c r="X29" s="500"/>
      <c r="Y29" s="500"/>
      <c r="Z29" s="500"/>
      <c r="AA29" s="500"/>
      <c r="AB29" s="500"/>
      <c r="AC29" s="500"/>
      <c r="AD29" s="500"/>
      <c r="AE29" s="500"/>
      <c r="AF29" s="500"/>
      <c r="AG29" s="500"/>
      <c r="AH29" s="500"/>
      <c r="AI29" s="500"/>
      <c r="AJ29" s="500"/>
      <c r="AK29" s="500"/>
      <c r="AL29" s="500"/>
      <c r="AM29" s="500"/>
      <c r="AN29" s="500"/>
      <c r="AO29" s="500"/>
      <c r="AP29" s="500"/>
      <c r="AQ29" s="500"/>
      <c r="AR29" s="500"/>
      <c r="AS29" s="500"/>
      <c r="AT29" s="500"/>
      <c r="AU29" s="500"/>
      <c r="AV29" s="500"/>
      <c r="AW29" s="500"/>
      <c r="AX29" s="500"/>
      <c r="AY29" s="500"/>
      <c r="AZ29" s="500"/>
    </row>
    <row r="30" spans="1:52" s="477" customFormat="1" x14ac:dyDescent="0.25">
      <c r="B30" s="481"/>
      <c r="C30" s="506"/>
      <c r="D30" s="481"/>
      <c r="E30" s="506"/>
      <c r="F30" s="506"/>
      <c r="G30" s="506"/>
      <c r="H30" s="506"/>
      <c r="I30" s="479"/>
      <c r="J30" s="498"/>
      <c r="K30" s="498"/>
      <c r="L30" s="498"/>
      <c r="M30" s="500"/>
      <c r="N30" s="500"/>
      <c r="O30" s="500"/>
      <c r="P30" s="500"/>
      <c r="Q30" s="500"/>
      <c r="R30" s="500"/>
      <c r="S30" s="500"/>
      <c r="T30" s="500"/>
      <c r="U30" s="500"/>
      <c r="V30" s="500"/>
      <c r="W30" s="500"/>
      <c r="X30" s="500"/>
      <c r="Y30" s="500"/>
      <c r="Z30" s="500"/>
      <c r="AA30" s="500"/>
      <c r="AB30" s="500"/>
      <c r="AC30" s="500"/>
      <c r="AD30" s="500"/>
      <c r="AE30" s="500"/>
      <c r="AF30" s="500"/>
      <c r="AG30" s="500"/>
      <c r="AH30" s="500"/>
      <c r="AI30" s="500"/>
      <c r="AJ30" s="500"/>
      <c r="AK30" s="500"/>
      <c r="AL30" s="500"/>
      <c r="AM30" s="500"/>
      <c r="AN30" s="500"/>
      <c r="AO30" s="500"/>
      <c r="AP30" s="500"/>
      <c r="AQ30" s="500"/>
      <c r="AR30" s="500"/>
      <c r="AS30" s="500"/>
      <c r="AT30" s="500"/>
      <c r="AU30" s="500"/>
      <c r="AV30" s="500"/>
      <c r="AW30" s="500"/>
      <c r="AX30" s="500"/>
      <c r="AY30" s="500"/>
      <c r="AZ30" s="500"/>
    </row>
    <row r="31" spans="1:52" s="477" customFormat="1" x14ac:dyDescent="0.25">
      <c r="B31" s="576" t="s">
        <v>1123</v>
      </c>
      <c r="C31" s="576"/>
      <c r="D31" s="583"/>
      <c r="E31" s="576"/>
      <c r="F31" s="576"/>
      <c r="G31" s="576"/>
      <c r="H31" s="576"/>
      <c r="I31" s="479"/>
      <c r="J31" s="503"/>
      <c r="K31" s="503"/>
      <c r="L31" s="503"/>
      <c r="M31" s="500"/>
      <c r="N31" s="500"/>
      <c r="O31" s="500"/>
      <c r="P31" s="500"/>
      <c r="Q31" s="500"/>
      <c r="R31" s="500"/>
      <c r="S31" s="500"/>
      <c r="T31" s="500"/>
      <c r="U31" s="500"/>
      <c r="V31" s="500"/>
      <c r="W31" s="500"/>
      <c r="X31" s="500"/>
      <c r="Y31" s="500"/>
      <c r="Z31" s="500"/>
      <c r="AA31" s="500"/>
      <c r="AB31" s="500"/>
      <c r="AC31" s="500"/>
      <c r="AD31" s="500"/>
      <c r="AE31" s="500"/>
      <c r="AF31" s="500"/>
      <c r="AG31" s="500"/>
      <c r="AH31" s="500"/>
      <c r="AI31" s="500"/>
      <c r="AJ31" s="500"/>
      <c r="AK31" s="500"/>
      <c r="AL31" s="500"/>
      <c r="AM31" s="500"/>
      <c r="AN31" s="500"/>
      <c r="AO31" s="500"/>
      <c r="AP31" s="500"/>
      <c r="AQ31" s="500"/>
      <c r="AR31" s="500"/>
      <c r="AS31" s="500"/>
      <c r="AT31" s="500"/>
      <c r="AU31" s="500"/>
      <c r="AV31" s="500"/>
      <c r="AW31" s="500"/>
      <c r="AX31" s="500"/>
      <c r="AY31" s="500"/>
      <c r="AZ31" s="500"/>
    </row>
    <row r="32" spans="1:52" s="566" customFormat="1" x14ac:dyDescent="0.25">
      <c r="B32" s="578" t="s">
        <v>1121</v>
      </c>
      <c r="C32" s="578"/>
      <c r="D32" s="578" t="s">
        <v>66</v>
      </c>
      <c r="E32" s="492"/>
      <c r="F32" s="494"/>
      <c r="G32" s="579"/>
      <c r="H32" s="578"/>
      <c r="J32" s="493">
        <f>IFERROR(K32/'Social Infrastructure'!$B$85,0)</f>
        <v>0</v>
      </c>
      <c r="K32" s="493">
        <f t="shared" si="18"/>
        <v>0</v>
      </c>
      <c r="L32" s="493">
        <f>NPV('Social Infrastructure'!$C$79,M24:AZ24)</f>
        <v>0</v>
      </c>
      <c r="M32" s="488"/>
      <c r="N32" s="488"/>
      <c r="O32" s="488"/>
      <c r="P32" s="488"/>
      <c r="Q32" s="488"/>
      <c r="R32" s="488"/>
      <c r="S32" s="488"/>
      <c r="T32" s="488"/>
      <c r="U32" s="488"/>
      <c r="V32" s="488"/>
      <c r="W32" s="488"/>
      <c r="X32" s="488"/>
      <c r="Y32" s="488"/>
      <c r="Z32" s="488"/>
      <c r="AA32" s="488"/>
      <c r="AB32" s="488"/>
      <c r="AC32" s="488"/>
      <c r="AD32" s="488"/>
      <c r="AE32" s="488"/>
      <c r="AF32" s="488"/>
      <c r="AG32" s="488"/>
      <c r="AH32" s="488"/>
      <c r="AI32" s="488"/>
      <c r="AJ32" s="488"/>
      <c r="AK32" s="488"/>
      <c r="AL32" s="488"/>
      <c r="AM32" s="488"/>
      <c r="AN32" s="488"/>
      <c r="AO32" s="488"/>
      <c r="AP32" s="488"/>
      <c r="AQ32" s="488"/>
      <c r="AR32" s="488"/>
      <c r="AS32" s="488"/>
      <c r="AT32" s="488"/>
      <c r="AU32" s="488"/>
      <c r="AV32" s="488"/>
      <c r="AW32" s="488"/>
      <c r="AX32" s="488"/>
      <c r="AY32" s="488"/>
      <c r="AZ32" s="488"/>
    </row>
    <row r="33" spans="2:52" s="566" customFormat="1" x14ac:dyDescent="0.25">
      <c r="B33" s="578" t="s">
        <v>1116</v>
      </c>
      <c r="C33" s="578"/>
      <c r="D33" s="578" t="s">
        <v>66</v>
      </c>
      <c r="E33" s="492"/>
      <c r="F33" s="494"/>
      <c r="G33" s="579"/>
      <c r="H33" s="578"/>
      <c r="J33" s="493">
        <f>IFERROR(K33/'Social Infrastructure'!$B$85,0)</f>
        <v>0</v>
      </c>
      <c r="K33" s="493">
        <f t="shared" si="18"/>
        <v>0</v>
      </c>
      <c r="L33" s="493">
        <f>NPV('Social Infrastructure'!$C$79,M21:AZ21)</f>
        <v>0</v>
      </c>
      <c r="M33" s="488"/>
      <c r="N33" s="488"/>
      <c r="O33" s="488"/>
      <c r="P33" s="488"/>
      <c r="Q33" s="488"/>
      <c r="R33" s="488"/>
      <c r="S33" s="488"/>
      <c r="T33" s="488"/>
      <c r="U33" s="488"/>
      <c r="V33" s="488"/>
      <c r="W33" s="488"/>
      <c r="X33" s="488"/>
      <c r="Y33" s="488"/>
      <c r="Z33" s="488"/>
      <c r="AA33" s="488"/>
      <c r="AB33" s="488"/>
      <c r="AC33" s="488"/>
      <c r="AD33" s="488"/>
      <c r="AE33" s="488"/>
      <c r="AF33" s="488"/>
      <c r="AG33" s="488"/>
      <c r="AH33" s="488"/>
      <c r="AI33" s="488"/>
      <c r="AJ33" s="488"/>
      <c r="AK33" s="488"/>
      <c r="AL33" s="488"/>
      <c r="AM33" s="488"/>
      <c r="AN33" s="488"/>
      <c r="AO33" s="488"/>
      <c r="AP33" s="488"/>
      <c r="AQ33" s="488"/>
      <c r="AR33" s="488"/>
      <c r="AS33" s="488"/>
      <c r="AT33" s="488"/>
      <c r="AU33" s="488"/>
      <c r="AV33" s="488"/>
      <c r="AW33" s="488"/>
      <c r="AX33" s="488"/>
      <c r="AY33" s="488"/>
      <c r="AZ33" s="488"/>
    </row>
    <row r="34" spans="2:52" s="566" customFormat="1" x14ac:dyDescent="0.25">
      <c r="B34" s="578" t="s">
        <v>956</v>
      </c>
      <c r="C34" s="578"/>
      <c r="D34" s="578" t="s">
        <v>66</v>
      </c>
      <c r="E34" s="492"/>
      <c r="F34" s="494"/>
      <c r="G34" s="579"/>
      <c r="H34" s="578"/>
      <c r="J34" s="493">
        <f>IFERROR(K34/'Social Infrastructure'!$B$85,0)</f>
        <v>0</v>
      </c>
      <c r="K34" s="493">
        <f t="shared" si="18"/>
        <v>0</v>
      </c>
      <c r="L34" s="493">
        <f>NPV('Social Infrastructure'!$C$79,M16:AZ16)</f>
        <v>0</v>
      </c>
      <c r="M34" s="488"/>
      <c r="N34" s="488"/>
      <c r="O34" s="488"/>
      <c r="P34" s="488"/>
      <c r="Q34" s="488"/>
      <c r="R34" s="488"/>
      <c r="S34" s="488"/>
      <c r="T34" s="488"/>
      <c r="U34" s="488"/>
      <c r="V34" s="488"/>
      <c r="W34" s="488"/>
      <c r="X34" s="488"/>
      <c r="Y34" s="488"/>
      <c r="Z34" s="488"/>
      <c r="AA34" s="488"/>
      <c r="AB34" s="488"/>
      <c r="AC34" s="488"/>
      <c r="AD34" s="488"/>
      <c r="AE34" s="488"/>
      <c r="AF34" s="488"/>
      <c r="AG34" s="488"/>
      <c r="AH34" s="488"/>
      <c r="AI34" s="488"/>
      <c r="AJ34" s="488"/>
      <c r="AK34" s="488"/>
      <c r="AL34" s="488"/>
      <c r="AM34" s="488"/>
      <c r="AN34" s="488"/>
      <c r="AO34" s="488"/>
      <c r="AP34" s="488"/>
      <c r="AQ34" s="488"/>
      <c r="AR34" s="488"/>
      <c r="AS34" s="488"/>
      <c r="AT34" s="488"/>
      <c r="AU34" s="488"/>
      <c r="AV34" s="488"/>
      <c r="AW34" s="488"/>
      <c r="AX34" s="488"/>
      <c r="AY34" s="488"/>
      <c r="AZ34" s="488"/>
    </row>
    <row r="35" spans="2:52" s="479" customFormat="1" x14ac:dyDescent="0.25">
      <c r="B35" s="576" t="s">
        <v>1093</v>
      </c>
      <c r="C35" s="576"/>
      <c r="D35" s="576" t="s">
        <v>66</v>
      </c>
      <c r="E35" s="581"/>
      <c r="F35" s="584"/>
      <c r="G35" s="585"/>
      <c r="H35" s="576"/>
      <c r="J35" s="497">
        <f>IFERROR(K35/'Social Infrastructure'!$B$85,0)</f>
        <v>0</v>
      </c>
      <c r="K35" s="497">
        <f t="shared" si="18"/>
        <v>0</v>
      </c>
      <c r="L35" s="497">
        <f>NPV('Social Infrastructure'!$C$79,M26:AZ26)</f>
        <v>0</v>
      </c>
      <c r="M35" s="500"/>
      <c r="N35" s="500"/>
      <c r="O35" s="500"/>
      <c r="P35" s="500"/>
      <c r="Q35" s="500"/>
      <c r="R35" s="500"/>
      <c r="S35" s="500"/>
      <c r="T35" s="500"/>
      <c r="U35" s="500"/>
      <c r="V35" s="500"/>
      <c r="W35" s="500"/>
      <c r="X35" s="500"/>
      <c r="Y35" s="500"/>
      <c r="Z35" s="500"/>
      <c r="AA35" s="500"/>
      <c r="AB35" s="500"/>
      <c r="AC35" s="500"/>
      <c r="AD35" s="500"/>
      <c r="AE35" s="500"/>
      <c r="AF35" s="500"/>
      <c r="AG35" s="500"/>
      <c r="AH35" s="500"/>
      <c r="AI35" s="500"/>
      <c r="AJ35" s="500"/>
      <c r="AK35" s="500"/>
      <c r="AL35" s="500"/>
      <c r="AM35" s="500"/>
      <c r="AN35" s="500"/>
      <c r="AO35" s="500"/>
      <c r="AP35" s="500"/>
      <c r="AQ35" s="500"/>
      <c r="AR35" s="500"/>
      <c r="AS35" s="500"/>
      <c r="AT35" s="500"/>
      <c r="AU35" s="500"/>
      <c r="AV35" s="500"/>
      <c r="AW35" s="500"/>
      <c r="AX35" s="500"/>
      <c r="AY35" s="500"/>
      <c r="AZ35" s="500"/>
    </row>
    <row r="36" spans="2:52" s="477" customFormat="1" ht="6.75" customHeight="1" x14ac:dyDescent="0.25">
      <c r="B36" s="481"/>
      <c r="C36" s="481"/>
      <c r="D36" s="481"/>
      <c r="E36" s="586"/>
      <c r="F36" s="559"/>
      <c r="G36" s="560"/>
      <c r="H36" s="481"/>
      <c r="J36" s="498"/>
      <c r="K36" s="504"/>
      <c r="L36" s="498"/>
      <c r="M36" s="498"/>
      <c r="N36" s="498"/>
      <c r="O36" s="498"/>
      <c r="P36" s="498"/>
      <c r="Q36" s="498"/>
      <c r="R36" s="498"/>
      <c r="S36" s="498"/>
      <c r="T36" s="498"/>
      <c r="U36" s="498"/>
      <c r="V36" s="498"/>
      <c r="W36" s="498"/>
      <c r="X36" s="498"/>
      <c r="Y36" s="498"/>
      <c r="Z36" s="498"/>
      <c r="AA36" s="498"/>
      <c r="AB36" s="498"/>
      <c r="AC36" s="498"/>
      <c r="AD36" s="498"/>
      <c r="AE36" s="498"/>
      <c r="AF36" s="498"/>
      <c r="AG36" s="498"/>
      <c r="AH36" s="498"/>
      <c r="AI36" s="498"/>
      <c r="AJ36" s="498"/>
      <c r="AK36" s="498"/>
      <c r="AL36" s="498"/>
      <c r="AM36" s="498"/>
      <c r="AN36" s="498"/>
      <c r="AO36" s="498"/>
      <c r="AP36" s="498"/>
      <c r="AQ36" s="498"/>
      <c r="AR36" s="498"/>
      <c r="AS36" s="498"/>
      <c r="AT36" s="498"/>
      <c r="AU36" s="498"/>
      <c r="AV36" s="498"/>
      <c r="AW36" s="498"/>
      <c r="AX36" s="498"/>
      <c r="AY36" s="498"/>
      <c r="AZ36" s="498"/>
    </row>
    <row r="37" spans="2:52" s="479" customFormat="1" x14ac:dyDescent="0.25">
      <c r="B37" s="576" t="s">
        <v>1110</v>
      </c>
      <c r="C37" s="576"/>
      <c r="D37" s="576" t="s">
        <v>79</v>
      </c>
      <c r="E37" s="576"/>
      <c r="F37" s="576"/>
      <c r="G37" s="576"/>
      <c r="H37" s="576"/>
      <c r="J37" s="497">
        <f>IFERROR(K37/'Social Infrastructure'!$B$85,0)</f>
        <v>0</v>
      </c>
      <c r="K37" s="497">
        <f>AVERAGE(M37:AZ37)</f>
        <v>0</v>
      </c>
      <c r="L37" s="497">
        <f>SUM(M37:AZ37)</f>
        <v>0</v>
      </c>
      <c r="M37" s="497">
        <f t="shared" ref="M37:AZ37" si="19">M6+M26</f>
        <v>0</v>
      </c>
      <c r="N37" s="497">
        <f t="shared" si="19"/>
        <v>0</v>
      </c>
      <c r="O37" s="497">
        <f t="shared" si="19"/>
        <v>0</v>
      </c>
      <c r="P37" s="497">
        <f t="shared" si="19"/>
        <v>0</v>
      </c>
      <c r="Q37" s="497">
        <f t="shared" si="19"/>
        <v>0</v>
      </c>
      <c r="R37" s="497">
        <f t="shared" si="19"/>
        <v>0</v>
      </c>
      <c r="S37" s="497">
        <f t="shared" si="19"/>
        <v>0</v>
      </c>
      <c r="T37" s="497">
        <f t="shared" si="19"/>
        <v>0</v>
      </c>
      <c r="U37" s="497">
        <f t="shared" si="19"/>
        <v>0</v>
      </c>
      <c r="V37" s="497">
        <f t="shared" si="19"/>
        <v>0</v>
      </c>
      <c r="W37" s="497">
        <f t="shared" si="19"/>
        <v>0</v>
      </c>
      <c r="X37" s="497">
        <f t="shared" si="19"/>
        <v>0</v>
      </c>
      <c r="Y37" s="497">
        <f t="shared" si="19"/>
        <v>0</v>
      </c>
      <c r="Z37" s="497">
        <f t="shared" si="19"/>
        <v>0</v>
      </c>
      <c r="AA37" s="497">
        <f t="shared" si="19"/>
        <v>0</v>
      </c>
      <c r="AB37" s="497">
        <f t="shared" si="19"/>
        <v>0</v>
      </c>
      <c r="AC37" s="497">
        <f t="shared" si="19"/>
        <v>0</v>
      </c>
      <c r="AD37" s="497">
        <f t="shared" si="19"/>
        <v>0</v>
      </c>
      <c r="AE37" s="497">
        <f t="shared" si="19"/>
        <v>0</v>
      </c>
      <c r="AF37" s="497">
        <f t="shared" si="19"/>
        <v>0</v>
      </c>
      <c r="AG37" s="497">
        <f t="shared" si="19"/>
        <v>0</v>
      </c>
      <c r="AH37" s="497">
        <f t="shared" si="19"/>
        <v>0</v>
      </c>
      <c r="AI37" s="497">
        <f t="shared" si="19"/>
        <v>0</v>
      </c>
      <c r="AJ37" s="497">
        <f t="shared" si="19"/>
        <v>0</v>
      </c>
      <c r="AK37" s="497">
        <f t="shared" si="19"/>
        <v>0</v>
      </c>
      <c r="AL37" s="497">
        <f t="shared" si="19"/>
        <v>0</v>
      </c>
      <c r="AM37" s="497">
        <f t="shared" si="19"/>
        <v>0</v>
      </c>
      <c r="AN37" s="497">
        <f t="shared" si="19"/>
        <v>0</v>
      </c>
      <c r="AO37" s="497">
        <f t="shared" si="19"/>
        <v>0</v>
      </c>
      <c r="AP37" s="497">
        <f t="shared" si="19"/>
        <v>0</v>
      </c>
      <c r="AQ37" s="497">
        <f t="shared" si="19"/>
        <v>0</v>
      </c>
      <c r="AR37" s="497">
        <f t="shared" si="19"/>
        <v>0</v>
      </c>
      <c r="AS37" s="497">
        <f t="shared" si="19"/>
        <v>0</v>
      </c>
      <c r="AT37" s="497">
        <f t="shared" si="19"/>
        <v>0</v>
      </c>
      <c r="AU37" s="497">
        <f t="shared" si="19"/>
        <v>0</v>
      </c>
      <c r="AV37" s="497">
        <f t="shared" si="19"/>
        <v>0</v>
      </c>
      <c r="AW37" s="497">
        <f t="shared" si="19"/>
        <v>0</v>
      </c>
      <c r="AX37" s="497">
        <f t="shared" si="19"/>
        <v>0</v>
      </c>
      <c r="AY37" s="497">
        <f t="shared" si="19"/>
        <v>0</v>
      </c>
      <c r="AZ37" s="497">
        <f t="shared" si="19"/>
        <v>0</v>
      </c>
    </row>
    <row r="38" spans="2:52" s="479" customFormat="1" x14ac:dyDescent="0.25">
      <c r="B38" s="576" t="s">
        <v>1111</v>
      </c>
      <c r="C38" s="576"/>
      <c r="D38" s="576" t="s">
        <v>87</v>
      </c>
      <c r="E38" s="576"/>
      <c r="F38" s="576"/>
      <c r="G38" s="576"/>
      <c r="H38" s="576"/>
      <c r="J38" s="497">
        <f>IFERROR(K38/'Social Infrastructure'!$B$85,0)</f>
        <v>0</v>
      </c>
      <c r="K38" s="505">
        <f t="shared" si="18"/>
        <v>0</v>
      </c>
      <c r="L38" s="497">
        <f>NPV('Social Infrastructure'!$C$79,M37:AZ37)</f>
        <v>0</v>
      </c>
      <c r="M38" s="506"/>
      <c r="N38" s="506"/>
      <c r="O38" s="506"/>
      <c r="P38" s="506"/>
      <c r="Q38" s="506"/>
      <c r="R38" s="506"/>
      <c r="S38" s="506"/>
      <c r="T38" s="506"/>
      <c r="U38" s="506"/>
      <c r="V38" s="506"/>
      <c r="W38" s="506"/>
      <c r="X38" s="506"/>
      <c r="Y38" s="506"/>
      <c r="Z38" s="506"/>
      <c r="AA38" s="506"/>
      <c r="AB38" s="506"/>
      <c r="AC38" s="506"/>
      <c r="AD38" s="506"/>
      <c r="AE38" s="506"/>
      <c r="AF38" s="506"/>
      <c r="AG38" s="506"/>
      <c r="AH38" s="506"/>
      <c r="AI38" s="506"/>
      <c r="AJ38" s="506"/>
      <c r="AK38" s="506"/>
      <c r="AL38" s="506"/>
      <c r="AM38" s="506"/>
      <c r="AN38" s="506"/>
      <c r="AO38" s="506"/>
      <c r="AP38" s="506"/>
      <c r="AQ38" s="506"/>
      <c r="AR38" s="506"/>
      <c r="AS38" s="506"/>
      <c r="AT38" s="506"/>
      <c r="AU38" s="506"/>
      <c r="AV38" s="506"/>
      <c r="AW38" s="506"/>
      <c r="AX38" s="506"/>
      <c r="AY38" s="506"/>
      <c r="AZ38" s="506"/>
    </row>
    <row r="39" spans="2:52" s="477" customFormat="1" ht="6.75" customHeight="1" x14ac:dyDescent="0.25">
      <c r="B39" s="481"/>
      <c r="C39" s="481"/>
      <c r="D39" s="481"/>
      <c r="E39" s="481"/>
      <c r="F39" s="481"/>
      <c r="G39" s="481"/>
      <c r="H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c r="AG39" s="481"/>
      <c r="AH39" s="481"/>
      <c r="AI39" s="481"/>
      <c r="AJ39" s="481"/>
      <c r="AK39" s="481"/>
      <c r="AL39" s="481"/>
      <c r="AM39" s="481"/>
      <c r="AN39" s="481"/>
      <c r="AO39" s="481"/>
      <c r="AP39" s="481"/>
      <c r="AQ39" s="481"/>
      <c r="AR39" s="481"/>
      <c r="AS39" s="481"/>
      <c r="AT39" s="481"/>
      <c r="AU39" s="481"/>
      <c r="AV39" s="481"/>
      <c r="AW39" s="481"/>
      <c r="AX39" s="481"/>
      <c r="AY39" s="481"/>
      <c r="AZ39" s="481"/>
    </row>
    <row r="40" spans="2:52" s="477" customFormat="1" x14ac:dyDescent="0.25">
      <c r="B40" s="587" t="s">
        <v>1038</v>
      </c>
      <c r="C40" s="587"/>
      <c r="D40" s="587"/>
      <c r="E40" s="588"/>
      <c r="F40" s="589"/>
      <c r="G40" s="590"/>
      <c r="H40" s="587"/>
      <c r="I40" s="479"/>
      <c r="J40" s="507"/>
      <c r="K40" s="507"/>
      <c r="L40" s="508"/>
      <c r="M40" s="508"/>
      <c r="N40" s="508"/>
      <c r="O40" s="508"/>
      <c r="P40" s="508"/>
      <c r="Q40" s="508"/>
      <c r="R40" s="508"/>
      <c r="S40" s="508"/>
      <c r="T40" s="508"/>
      <c r="U40" s="508"/>
      <c r="V40" s="508"/>
      <c r="W40" s="508"/>
      <c r="X40" s="508"/>
      <c r="Y40" s="508"/>
      <c r="Z40" s="508"/>
      <c r="AA40" s="508"/>
      <c r="AB40" s="508"/>
      <c r="AC40" s="508"/>
      <c r="AD40" s="508"/>
      <c r="AE40" s="508"/>
      <c r="AF40" s="508"/>
      <c r="AG40" s="508"/>
      <c r="AH40" s="508"/>
      <c r="AI40" s="508"/>
      <c r="AJ40" s="508"/>
      <c r="AK40" s="508"/>
      <c r="AL40" s="508"/>
      <c r="AM40" s="508"/>
      <c r="AN40" s="508"/>
      <c r="AO40" s="508"/>
      <c r="AP40" s="508"/>
      <c r="AQ40" s="508"/>
      <c r="AR40" s="508"/>
      <c r="AS40" s="508"/>
      <c r="AT40" s="508"/>
      <c r="AU40" s="508"/>
      <c r="AV40" s="508"/>
      <c r="AW40" s="508"/>
      <c r="AX40" s="508"/>
      <c r="AY40" s="508"/>
      <c r="AZ40" s="508"/>
    </row>
    <row r="41" spans="2:52" s="477" customFormat="1" x14ac:dyDescent="0.25">
      <c r="B41" s="591" t="s">
        <v>948</v>
      </c>
      <c r="C41" s="591"/>
      <c r="D41" s="591" t="s">
        <v>70</v>
      </c>
      <c r="E41" s="592"/>
      <c r="F41" s="593"/>
      <c r="G41" s="594"/>
      <c r="H41" s="591"/>
      <c r="J41" s="474">
        <f>IFERROR(K41/'Social Infrastructure'!$B$85,)</f>
        <v>0</v>
      </c>
      <c r="K41" s="474">
        <f t="shared" ref="K41" si="20">AVERAGE(M41:AZ41)</f>
        <v>0</v>
      </c>
      <c r="L41" s="474">
        <f t="shared" ref="L41" si="21">SUM(M41:AZ41)</f>
        <v>0</v>
      </c>
      <c r="M41" s="474">
        <f>IF('Green Infrastructure'!M47&gt;0,'Energy and carbon'!M63,'Energy and carbon'!M27)</f>
        <v>0</v>
      </c>
      <c r="N41" s="474">
        <f>IF('Green Infrastructure'!N47&gt;0,'Energy and carbon'!N63,'Energy and carbon'!N27)</f>
        <v>0</v>
      </c>
      <c r="O41" s="474">
        <f>IF('Green Infrastructure'!O47&gt;0,'Energy and carbon'!O63,'Energy and carbon'!O27)</f>
        <v>0</v>
      </c>
      <c r="P41" s="474">
        <f>IF('Green Infrastructure'!P47&gt;0,'Energy and carbon'!P63,'Energy and carbon'!P27)</f>
        <v>0</v>
      </c>
      <c r="Q41" s="474">
        <f>IF('Green Infrastructure'!Q47&gt;0,'Energy and carbon'!Q63,'Energy and carbon'!Q27)</f>
        <v>0</v>
      </c>
      <c r="R41" s="474">
        <f>IF('Green Infrastructure'!R47&gt;0,'Energy and carbon'!R63,'Energy and carbon'!R27)</f>
        <v>0</v>
      </c>
      <c r="S41" s="474">
        <f>IF('Green Infrastructure'!S47&gt;0,'Energy and carbon'!S63,'Energy and carbon'!S27)</f>
        <v>0</v>
      </c>
      <c r="T41" s="474">
        <f>IF('Green Infrastructure'!T47&gt;0,'Energy and carbon'!T63,'Energy and carbon'!T27)</f>
        <v>0</v>
      </c>
      <c r="U41" s="474">
        <f>IF('Green Infrastructure'!U47&gt;0,'Energy and carbon'!U63,'Energy and carbon'!U27)</f>
        <v>0</v>
      </c>
      <c r="V41" s="474">
        <f>IF('Green Infrastructure'!V47&gt;0,'Energy and carbon'!V63,'Energy and carbon'!V27)</f>
        <v>0</v>
      </c>
      <c r="W41" s="474">
        <f>IF('Green Infrastructure'!W47&gt;0,'Energy and carbon'!W63,'Energy and carbon'!W27)</f>
        <v>0</v>
      </c>
      <c r="X41" s="474">
        <f>IF('Green Infrastructure'!X47&gt;0,'Energy and carbon'!X63,'Energy and carbon'!X27)</f>
        <v>0</v>
      </c>
      <c r="Y41" s="474">
        <f>IF('Green Infrastructure'!Y47&gt;0,'Energy and carbon'!Y63,'Energy and carbon'!Y27)</f>
        <v>0</v>
      </c>
      <c r="Z41" s="474">
        <f>IF('Green Infrastructure'!Z47&gt;0,'Energy and carbon'!Z63,'Energy and carbon'!Z27)</f>
        <v>0</v>
      </c>
      <c r="AA41" s="474">
        <f>IF('Green Infrastructure'!AA47&gt;0,'Energy and carbon'!AA63,'Energy and carbon'!AA27)</f>
        <v>0</v>
      </c>
      <c r="AB41" s="474">
        <f>IF('Green Infrastructure'!AB47&gt;0,'Energy and carbon'!AB63,'Energy and carbon'!AB27)</f>
        <v>0</v>
      </c>
      <c r="AC41" s="474">
        <f>IF('Green Infrastructure'!AC47&gt;0,'Energy and carbon'!AC63,'Energy and carbon'!AC27)</f>
        <v>0</v>
      </c>
      <c r="AD41" s="474">
        <f>IF('Green Infrastructure'!AD47&gt;0,'Energy and carbon'!AD63,'Energy and carbon'!AD27)</f>
        <v>0</v>
      </c>
      <c r="AE41" s="474">
        <f>IF('Green Infrastructure'!AE47&gt;0,'Energy and carbon'!AE63,'Energy and carbon'!AE27)</f>
        <v>0</v>
      </c>
      <c r="AF41" s="474">
        <f>IF('Green Infrastructure'!AF47&gt;0,'Energy and carbon'!AF63,'Energy and carbon'!AF27)</f>
        <v>0</v>
      </c>
      <c r="AG41" s="474">
        <f>IF('Green Infrastructure'!AG47&gt;0,'Energy and carbon'!AG63,'Energy and carbon'!AG27)</f>
        <v>0</v>
      </c>
      <c r="AH41" s="474">
        <f>IF('Green Infrastructure'!AH47&gt;0,'Energy and carbon'!AH63,'Energy and carbon'!AH27)</f>
        <v>0</v>
      </c>
      <c r="AI41" s="474">
        <f>IF('Green Infrastructure'!AI47&gt;0,'Energy and carbon'!AI63,'Energy and carbon'!AI27)</f>
        <v>0</v>
      </c>
      <c r="AJ41" s="474">
        <f>IF('Green Infrastructure'!AJ47&gt;0,'Energy and carbon'!AJ63,'Energy and carbon'!AJ27)</f>
        <v>0</v>
      </c>
      <c r="AK41" s="474">
        <f>IF('Green Infrastructure'!AK47&gt;0,'Energy and carbon'!AK63,'Energy and carbon'!AK27)</f>
        <v>0</v>
      </c>
      <c r="AL41" s="474">
        <f>IF('Green Infrastructure'!AL47&gt;0,'Energy and carbon'!AL63,'Energy and carbon'!AL27)</f>
        <v>0</v>
      </c>
      <c r="AM41" s="474">
        <f>IF('Green Infrastructure'!AM47&gt;0,'Energy and carbon'!AM63,'Energy and carbon'!AM27)</f>
        <v>0</v>
      </c>
      <c r="AN41" s="474">
        <f>IF('Green Infrastructure'!AN47&gt;0,'Energy and carbon'!AN63,'Energy and carbon'!AN27)</f>
        <v>0</v>
      </c>
      <c r="AO41" s="474">
        <f>IF('Green Infrastructure'!AO47&gt;0,'Energy and carbon'!AO63,'Energy and carbon'!AO27)</f>
        <v>0</v>
      </c>
      <c r="AP41" s="474">
        <f>IF('Green Infrastructure'!AP47&gt;0,'Energy and carbon'!AP63,'Energy and carbon'!AP27)</f>
        <v>0</v>
      </c>
      <c r="AQ41" s="474">
        <f>IF('Green Infrastructure'!AQ47&gt;0,'Energy and carbon'!AQ63,'Energy and carbon'!AQ27)</f>
        <v>0</v>
      </c>
      <c r="AR41" s="474">
        <f>IF('Green Infrastructure'!AR47&gt;0,'Energy and carbon'!AR63,'Energy and carbon'!AR27)</f>
        <v>0</v>
      </c>
      <c r="AS41" s="474">
        <f>IF('Green Infrastructure'!AS47&gt;0,'Energy and carbon'!AS63,'Energy and carbon'!AS27)</f>
        <v>0</v>
      </c>
      <c r="AT41" s="474">
        <f>IF('Green Infrastructure'!AT47&gt;0,'Energy and carbon'!AT63,'Energy and carbon'!AT27)</f>
        <v>0</v>
      </c>
      <c r="AU41" s="474">
        <f>IF('Green Infrastructure'!AU47&gt;0,'Energy and carbon'!AU63,'Energy and carbon'!AU27)</f>
        <v>0</v>
      </c>
      <c r="AV41" s="474">
        <f>IF('Green Infrastructure'!AV47&gt;0,'Energy and carbon'!AV63,'Energy and carbon'!AV27)</f>
        <v>0</v>
      </c>
      <c r="AW41" s="474">
        <f>IF('Green Infrastructure'!AW47&gt;0,'Energy and carbon'!AW63,'Energy and carbon'!AW27)</f>
        <v>0</v>
      </c>
      <c r="AX41" s="474">
        <f>IF('Green Infrastructure'!AX47&gt;0,'Energy and carbon'!AX63,'Energy and carbon'!AX27)</f>
        <v>0</v>
      </c>
      <c r="AY41" s="474">
        <f>IF('Green Infrastructure'!AY47&gt;0,'Energy and carbon'!AY63,'Energy and carbon'!AY27)</f>
        <v>0</v>
      </c>
      <c r="AZ41" s="474">
        <f>IF('Green Infrastructure'!AZ47&gt;0,'Energy and carbon'!AZ63,'Energy and carbon'!AZ27)</f>
        <v>0</v>
      </c>
    </row>
    <row r="42" spans="2:52" s="477" customFormat="1" x14ac:dyDescent="0.25">
      <c r="B42" s="591" t="s">
        <v>954</v>
      </c>
      <c r="C42" s="591"/>
      <c r="D42" s="591" t="s">
        <v>70</v>
      </c>
      <c r="E42" s="592"/>
      <c r="F42" s="593"/>
      <c r="G42" s="594"/>
      <c r="H42" s="591"/>
      <c r="J42" s="474">
        <f>IFERROR(K42/'Social Infrastructure'!$B$85,)</f>
        <v>0</v>
      </c>
      <c r="K42" s="474">
        <f t="shared" ref="K42:K43" si="22">AVERAGE(M42:AZ42)</f>
        <v>0</v>
      </c>
      <c r="L42" s="474">
        <f t="shared" ref="L42:L43" si="23">SUM(M42:AZ42)</f>
        <v>0</v>
      </c>
      <c r="M42" s="474">
        <f>'Social Infrastructure'!$X$98</f>
        <v>0</v>
      </c>
      <c r="N42" s="474">
        <f>M42*(1+'Green+Social Interface'!$I$35)</f>
        <v>0</v>
      </c>
      <c r="O42" s="474">
        <f>N42*(1+'Green+Social Interface'!$I$35)</f>
        <v>0</v>
      </c>
      <c r="P42" s="474">
        <f>O42*(1+'Green+Social Interface'!$I$35)</f>
        <v>0</v>
      </c>
      <c r="Q42" s="474">
        <f>P42*(1+'Green+Social Interface'!$I$35)</f>
        <v>0</v>
      </c>
      <c r="R42" s="474">
        <f>Q42*(1+'Green+Social Interface'!$I$35)</f>
        <v>0</v>
      </c>
      <c r="S42" s="474">
        <f>R42*(1+'Green+Social Interface'!$I$35)</f>
        <v>0</v>
      </c>
      <c r="T42" s="474">
        <f>S42*(1+'Green+Social Interface'!$I$35)</f>
        <v>0</v>
      </c>
      <c r="U42" s="474">
        <f>T42*(1+'Green+Social Interface'!$I$35)</f>
        <v>0</v>
      </c>
      <c r="V42" s="474">
        <f>U42*(1+'Green+Social Interface'!$I$35)</f>
        <v>0</v>
      </c>
      <c r="W42" s="474">
        <f>V42*(1+'Green+Social Interface'!$I$35)</f>
        <v>0</v>
      </c>
      <c r="X42" s="474">
        <f>W42*(1+'Green+Social Interface'!$I$35)</f>
        <v>0</v>
      </c>
      <c r="Y42" s="474">
        <f>X42*(1+'Green+Social Interface'!$I$35)</f>
        <v>0</v>
      </c>
      <c r="Z42" s="474">
        <f>Y42*(1+'Green+Social Interface'!$I$35)</f>
        <v>0</v>
      </c>
      <c r="AA42" s="474">
        <f>Z42*(1+'Green+Social Interface'!$I$35)</f>
        <v>0</v>
      </c>
      <c r="AB42" s="474">
        <f>AA42*(1+'Green+Social Interface'!$I$35)</f>
        <v>0</v>
      </c>
      <c r="AC42" s="474">
        <f>AB42*(1+'Green+Social Interface'!$I$35)</f>
        <v>0</v>
      </c>
      <c r="AD42" s="474">
        <f>AC42*(1+'Green+Social Interface'!$I$35)</f>
        <v>0</v>
      </c>
      <c r="AE42" s="474">
        <f>AD42*(1+'Green+Social Interface'!$I$35)</f>
        <v>0</v>
      </c>
      <c r="AF42" s="474">
        <f>AE42*(1+'Green+Social Interface'!$I$35)</f>
        <v>0</v>
      </c>
      <c r="AG42" s="474">
        <f>AF42*(1+'Green+Social Interface'!$I$35)</f>
        <v>0</v>
      </c>
      <c r="AH42" s="474">
        <f>AG42*(1+'Green+Social Interface'!$I$35)</f>
        <v>0</v>
      </c>
      <c r="AI42" s="474">
        <f>AH42*(1+'Green+Social Interface'!$I$35)</f>
        <v>0</v>
      </c>
      <c r="AJ42" s="474">
        <f>AI42*(1+'Green+Social Interface'!$I$35)</f>
        <v>0</v>
      </c>
      <c r="AK42" s="474">
        <f>AJ42*(1+'Green+Social Interface'!$I$35)</f>
        <v>0</v>
      </c>
      <c r="AL42" s="474">
        <f>AK42*(1+'Green+Social Interface'!$I$35)</f>
        <v>0</v>
      </c>
      <c r="AM42" s="474">
        <f>AL42*(1+'Green+Social Interface'!$I$35)</f>
        <v>0</v>
      </c>
      <c r="AN42" s="474">
        <f>AM42*(1+'Green+Social Interface'!$I$35)</f>
        <v>0</v>
      </c>
      <c r="AO42" s="474">
        <f>AN42*(1+'Green+Social Interface'!$I$35)</f>
        <v>0</v>
      </c>
      <c r="AP42" s="474">
        <f>AO42*(1+'Green+Social Interface'!$I$35)</f>
        <v>0</v>
      </c>
      <c r="AQ42" s="474">
        <f>AP42*(1+'Green+Social Interface'!$I$35)</f>
        <v>0</v>
      </c>
      <c r="AR42" s="474">
        <f>AQ42*(1+'Green+Social Interface'!$I$35)</f>
        <v>0</v>
      </c>
      <c r="AS42" s="474">
        <f>AR42*(1+'Green+Social Interface'!$I$35)</f>
        <v>0</v>
      </c>
      <c r="AT42" s="474">
        <f>AS42*(1+'Green+Social Interface'!$I$35)</f>
        <v>0</v>
      </c>
      <c r="AU42" s="474">
        <f>AT42*(1+'Green+Social Interface'!$I$35)</f>
        <v>0</v>
      </c>
      <c r="AV42" s="474">
        <f>AU42*(1+'Green+Social Interface'!$I$35)</f>
        <v>0</v>
      </c>
      <c r="AW42" s="474">
        <f>AV42*(1+'Green+Social Interface'!$I$35)</f>
        <v>0</v>
      </c>
      <c r="AX42" s="474">
        <f>AW42*(1+'Green+Social Interface'!$I$35)</f>
        <v>0</v>
      </c>
      <c r="AY42" s="474">
        <f>AX42*(1+'Green+Social Interface'!$I$35)</f>
        <v>0</v>
      </c>
      <c r="AZ42" s="474">
        <f>AY42*(1+'Green+Social Interface'!$I$35)</f>
        <v>0</v>
      </c>
    </row>
    <row r="43" spans="2:52" s="479" customFormat="1" x14ac:dyDescent="0.25">
      <c r="B43" s="587" t="s">
        <v>957</v>
      </c>
      <c r="C43" s="587"/>
      <c r="D43" s="587" t="s">
        <v>70</v>
      </c>
      <c r="E43" s="588"/>
      <c r="F43" s="589"/>
      <c r="G43" s="590"/>
      <c r="H43" s="587"/>
      <c r="J43" s="508">
        <f>IFERROR(K43/'Social Infrastructure'!$B$85,0)</f>
        <v>0</v>
      </c>
      <c r="K43" s="508">
        <f t="shared" si="22"/>
        <v>0</v>
      </c>
      <c r="L43" s="508">
        <f t="shared" si="23"/>
        <v>0</v>
      </c>
      <c r="M43" s="508">
        <f>M41+M42</f>
        <v>0</v>
      </c>
      <c r="N43" s="508">
        <f t="shared" ref="N43:AZ43" si="24">N41+N42</f>
        <v>0</v>
      </c>
      <c r="O43" s="508">
        <f t="shared" si="24"/>
        <v>0</v>
      </c>
      <c r="P43" s="508">
        <f t="shared" si="24"/>
        <v>0</v>
      </c>
      <c r="Q43" s="508">
        <f t="shared" si="24"/>
        <v>0</v>
      </c>
      <c r="R43" s="508">
        <f t="shared" si="24"/>
        <v>0</v>
      </c>
      <c r="S43" s="508">
        <f t="shared" si="24"/>
        <v>0</v>
      </c>
      <c r="T43" s="508">
        <f t="shared" si="24"/>
        <v>0</v>
      </c>
      <c r="U43" s="508">
        <f t="shared" si="24"/>
        <v>0</v>
      </c>
      <c r="V43" s="508">
        <f t="shared" si="24"/>
        <v>0</v>
      </c>
      <c r="W43" s="508">
        <f t="shared" si="24"/>
        <v>0</v>
      </c>
      <c r="X43" s="508">
        <f t="shared" si="24"/>
        <v>0</v>
      </c>
      <c r="Y43" s="508">
        <f t="shared" si="24"/>
        <v>0</v>
      </c>
      <c r="Z43" s="508">
        <f t="shared" si="24"/>
        <v>0</v>
      </c>
      <c r="AA43" s="508">
        <f t="shared" si="24"/>
        <v>0</v>
      </c>
      <c r="AB43" s="508">
        <f t="shared" si="24"/>
        <v>0</v>
      </c>
      <c r="AC43" s="508">
        <f t="shared" si="24"/>
        <v>0</v>
      </c>
      <c r="AD43" s="508">
        <f t="shared" si="24"/>
        <v>0</v>
      </c>
      <c r="AE43" s="508">
        <f t="shared" si="24"/>
        <v>0</v>
      </c>
      <c r="AF43" s="508">
        <f t="shared" si="24"/>
        <v>0</v>
      </c>
      <c r="AG43" s="508">
        <f t="shared" si="24"/>
        <v>0</v>
      </c>
      <c r="AH43" s="508">
        <f t="shared" si="24"/>
        <v>0</v>
      </c>
      <c r="AI43" s="508">
        <f t="shared" si="24"/>
        <v>0</v>
      </c>
      <c r="AJ43" s="508">
        <f t="shared" si="24"/>
        <v>0</v>
      </c>
      <c r="AK43" s="508">
        <f t="shared" si="24"/>
        <v>0</v>
      </c>
      <c r="AL43" s="508">
        <f t="shared" si="24"/>
        <v>0</v>
      </c>
      <c r="AM43" s="508">
        <f t="shared" si="24"/>
        <v>0</v>
      </c>
      <c r="AN43" s="508">
        <f t="shared" si="24"/>
        <v>0</v>
      </c>
      <c r="AO43" s="508">
        <f t="shared" si="24"/>
        <v>0</v>
      </c>
      <c r="AP43" s="508">
        <f t="shared" si="24"/>
        <v>0</v>
      </c>
      <c r="AQ43" s="508">
        <f t="shared" si="24"/>
        <v>0</v>
      </c>
      <c r="AR43" s="508">
        <f t="shared" si="24"/>
        <v>0</v>
      </c>
      <c r="AS43" s="508">
        <f t="shared" si="24"/>
        <v>0</v>
      </c>
      <c r="AT43" s="508">
        <f t="shared" si="24"/>
        <v>0</v>
      </c>
      <c r="AU43" s="508">
        <f t="shared" si="24"/>
        <v>0</v>
      </c>
      <c r="AV43" s="508">
        <f t="shared" si="24"/>
        <v>0</v>
      </c>
      <c r="AW43" s="508">
        <f t="shared" si="24"/>
        <v>0</v>
      </c>
      <c r="AX43" s="508">
        <f t="shared" si="24"/>
        <v>0</v>
      </c>
      <c r="AY43" s="508">
        <f t="shared" si="24"/>
        <v>0</v>
      </c>
      <c r="AZ43" s="508">
        <f t="shared" si="24"/>
        <v>0</v>
      </c>
    </row>
    <row r="44" spans="2:52" s="477" customFormat="1" x14ac:dyDescent="0.25">
      <c r="B44" s="591" t="s">
        <v>955</v>
      </c>
      <c r="C44" s="591"/>
      <c r="D44" s="591" t="s">
        <v>70</v>
      </c>
      <c r="E44" s="592"/>
      <c r="F44" s="593"/>
      <c r="G44" s="594"/>
      <c r="H44" s="591"/>
      <c r="J44" s="474">
        <f>IFERROR(K44/'Social Infrastructure'!$B$85,)</f>
        <v>0</v>
      </c>
      <c r="K44" s="474">
        <f>L44/40</f>
        <v>0</v>
      </c>
      <c r="L44" s="474">
        <f>NPV('Social Infrastructure'!$C$79,M41:AZ41)</f>
        <v>0</v>
      </c>
      <c r="M44" s="498"/>
      <c r="N44" s="498"/>
      <c r="O44" s="498"/>
      <c r="P44" s="498"/>
      <c r="Q44" s="498"/>
      <c r="R44" s="498"/>
      <c r="S44" s="498"/>
      <c r="T44" s="498"/>
      <c r="U44" s="498"/>
      <c r="V44" s="498"/>
      <c r="W44" s="498"/>
      <c r="X44" s="498"/>
      <c r="Y44" s="498"/>
      <c r="Z44" s="498"/>
      <c r="AA44" s="498"/>
      <c r="AB44" s="498"/>
      <c r="AC44" s="498"/>
      <c r="AD44" s="498"/>
      <c r="AE44" s="498"/>
      <c r="AF44" s="498"/>
      <c r="AG44" s="498"/>
      <c r="AH44" s="498"/>
      <c r="AI44" s="498"/>
      <c r="AJ44" s="498"/>
      <c r="AK44" s="498"/>
      <c r="AL44" s="498"/>
      <c r="AM44" s="498"/>
      <c r="AN44" s="498"/>
      <c r="AO44" s="498"/>
      <c r="AP44" s="498"/>
      <c r="AQ44" s="498"/>
      <c r="AR44" s="498"/>
      <c r="AS44" s="498"/>
      <c r="AT44" s="498"/>
      <c r="AU44" s="498"/>
      <c r="AV44" s="498"/>
      <c r="AW44" s="498"/>
      <c r="AX44" s="498"/>
      <c r="AY44" s="498"/>
      <c r="AZ44" s="498"/>
    </row>
    <row r="45" spans="2:52" s="479" customFormat="1" x14ac:dyDescent="0.25">
      <c r="B45" s="587" t="s">
        <v>1028</v>
      </c>
      <c r="C45" s="587"/>
      <c r="D45" s="587" t="s">
        <v>1125</v>
      </c>
      <c r="E45" s="588"/>
      <c r="F45" s="589"/>
      <c r="G45" s="590"/>
      <c r="H45" s="587"/>
      <c r="J45" s="508">
        <f>IFERROR(K45/'Social Infrastructure'!$B$85,0)</f>
        <v>0</v>
      </c>
      <c r="K45" s="508">
        <f>L45/40</f>
        <v>0</v>
      </c>
      <c r="L45" s="508">
        <f>NPV('Social Infrastructure'!$C$79,M43:AZ43)</f>
        <v>0</v>
      </c>
      <c r="M45" s="500"/>
      <c r="N45" s="500"/>
      <c r="O45" s="500"/>
      <c r="P45" s="500"/>
      <c r="Q45" s="500"/>
      <c r="R45" s="500"/>
      <c r="S45" s="500"/>
      <c r="T45" s="500"/>
      <c r="U45" s="500"/>
      <c r="V45" s="500"/>
      <c r="W45" s="500"/>
      <c r="X45" s="500"/>
      <c r="Y45" s="500"/>
      <c r="Z45" s="500"/>
      <c r="AA45" s="500"/>
      <c r="AB45" s="500"/>
      <c r="AC45" s="500"/>
      <c r="AD45" s="500"/>
      <c r="AE45" s="500"/>
      <c r="AF45" s="500"/>
      <c r="AG45" s="500"/>
      <c r="AH45" s="500"/>
      <c r="AI45" s="500"/>
      <c r="AJ45" s="500"/>
      <c r="AK45" s="500"/>
      <c r="AL45" s="500"/>
      <c r="AM45" s="500"/>
      <c r="AN45" s="500"/>
      <c r="AO45" s="500"/>
      <c r="AP45" s="500"/>
      <c r="AQ45" s="500"/>
      <c r="AR45" s="500"/>
      <c r="AS45" s="500"/>
      <c r="AT45" s="500"/>
      <c r="AU45" s="500"/>
      <c r="AV45" s="500"/>
      <c r="AW45" s="500"/>
      <c r="AX45" s="500"/>
      <c r="AY45" s="500"/>
      <c r="AZ45" s="500"/>
    </row>
  </sheetData>
  <sheetProtection algorithmName="SHA-512" hashValue="7dWvb0y5s51RlG9gVldxcwVOEM7Lf9fBxWp2yxTHzocfNJzCPeesE0fRCfGBRAVDjKxmvum+b/BTs9v7NUjakg==" saltValue="wYITVoIrdHiwws4+PNsyLA==" spinCount="100000" sheet="1" objects="1" scenarios="1"/>
  <pageMargins left="0.7" right="0.7" top="0.75" bottom="0.75" header="0.3" footer="0.3"/>
  <pageSetup paperSize="9" orientation="portrait" horizontalDpi="4294967293" verticalDpi="3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BB143"/>
  <sheetViews>
    <sheetView topLeftCell="F70" zoomScaleNormal="100" workbookViewId="0">
      <selection activeCell="S87" sqref="S87:S97"/>
    </sheetView>
  </sheetViews>
  <sheetFormatPr defaultColWidth="8.85546875" defaultRowHeight="15" x14ac:dyDescent="0.25"/>
  <cols>
    <col min="2" max="2" width="28.85546875" bestFit="1" customWidth="1"/>
    <col min="3" max="3" width="42.42578125" customWidth="1"/>
    <col min="4" max="4" width="9.42578125" bestFit="1" customWidth="1"/>
    <col min="5" max="5" width="11.42578125" bestFit="1" customWidth="1"/>
    <col min="6" max="6" width="10.42578125" bestFit="1" customWidth="1"/>
    <col min="11" max="11" width="14.42578125" bestFit="1" customWidth="1"/>
    <col min="12" max="53" width="14.42578125" customWidth="1"/>
  </cols>
  <sheetData>
    <row r="1" spans="1:53" x14ac:dyDescent="0.25">
      <c r="B1" s="3" t="s">
        <v>13</v>
      </c>
      <c r="C1" s="4"/>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row>
    <row r="2" spans="1:53" x14ac:dyDescent="0.25">
      <c r="B2" s="3" t="s">
        <v>14</v>
      </c>
      <c r="C2" s="4"/>
      <c r="G2" s="5"/>
      <c r="H2" s="5"/>
      <c r="I2" s="5"/>
      <c r="J2" s="5"/>
      <c r="K2" s="5"/>
      <c r="L2" s="5"/>
      <c r="M2" s="5">
        <v>15</v>
      </c>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row>
    <row r="3" spans="1:53" x14ac:dyDescent="0.25">
      <c r="E3" s="126"/>
      <c r="F3" s="118" t="s">
        <v>215</v>
      </c>
      <c r="G3" s="5"/>
      <c r="H3" s="5" t="s">
        <v>15</v>
      </c>
      <c r="I3" s="6">
        <v>0</v>
      </c>
      <c r="J3" s="6"/>
      <c r="K3" s="6"/>
      <c r="L3" s="6"/>
      <c r="M3" s="6"/>
      <c r="N3" s="6">
        <v>1</v>
      </c>
      <c r="O3" s="6">
        <v>2</v>
      </c>
      <c r="P3" s="6">
        <v>3</v>
      </c>
      <c r="Q3" s="6">
        <v>4</v>
      </c>
      <c r="R3" s="6">
        <v>5</v>
      </c>
      <c r="S3" s="6">
        <v>6</v>
      </c>
      <c r="T3" s="6">
        <v>7</v>
      </c>
      <c r="U3" s="6">
        <v>8</v>
      </c>
      <c r="V3" s="6">
        <v>9</v>
      </c>
      <c r="W3" s="6">
        <v>10</v>
      </c>
      <c r="X3" s="6">
        <v>11</v>
      </c>
      <c r="Y3" s="6">
        <v>12</v>
      </c>
      <c r="Z3" s="6">
        <v>13</v>
      </c>
      <c r="AA3" s="6">
        <v>14</v>
      </c>
      <c r="AB3" s="6">
        <v>15</v>
      </c>
      <c r="AC3" s="6">
        <v>16</v>
      </c>
      <c r="AD3" s="6">
        <v>17</v>
      </c>
      <c r="AE3" s="6">
        <v>18</v>
      </c>
      <c r="AF3" s="6">
        <v>19</v>
      </c>
      <c r="AG3" s="6">
        <v>20</v>
      </c>
      <c r="AH3" s="6">
        <v>21</v>
      </c>
      <c r="AI3" s="6">
        <v>22</v>
      </c>
      <c r="AJ3" s="6">
        <v>23</v>
      </c>
      <c r="AK3" s="6">
        <v>24</v>
      </c>
      <c r="AL3" s="6">
        <v>25</v>
      </c>
      <c r="AM3" s="6">
        <v>26</v>
      </c>
      <c r="AN3" s="6">
        <v>27</v>
      </c>
      <c r="AO3" s="6">
        <v>28</v>
      </c>
      <c r="AP3" s="6">
        <v>29</v>
      </c>
      <c r="AQ3" s="6">
        <v>30</v>
      </c>
      <c r="AR3" s="6">
        <v>31</v>
      </c>
      <c r="AS3" s="6">
        <v>32</v>
      </c>
      <c r="AT3" s="6">
        <v>33</v>
      </c>
      <c r="AU3" s="6">
        <v>34</v>
      </c>
      <c r="AV3" s="6">
        <v>35</v>
      </c>
      <c r="AW3" s="6">
        <v>36</v>
      </c>
      <c r="AX3" s="6">
        <v>37</v>
      </c>
      <c r="AY3" s="6">
        <v>38</v>
      </c>
      <c r="AZ3" s="6">
        <v>39</v>
      </c>
      <c r="BA3" s="6">
        <v>40</v>
      </c>
    </row>
    <row r="4" spans="1:53" x14ac:dyDescent="0.25">
      <c r="B4" s="7" t="s">
        <v>16</v>
      </c>
      <c r="C4" s="8" t="s">
        <v>17</v>
      </c>
      <c r="D4" s="8" t="s">
        <v>18</v>
      </c>
      <c r="E4" s="8" t="s">
        <v>19</v>
      </c>
      <c r="F4" s="8" t="s">
        <v>19</v>
      </c>
      <c r="G4" s="8" t="s">
        <v>20</v>
      </c>
      <c r="H4" s="8" t="s">
        <v>21</v>
      </c>
      <c r="I4" s="9" t="s">
        <v>973</v>
      </c>
      <c r="J4" s="10"/>
      <c r="K4" s="160" t="s">
        <v>151</v>
      </c>
      <c r="L4" s="160" t="s">
        <v>150</v>
      </c>
      <c r="M4" s="9" t="s">
        <v>23</v>
      </c>
      <c r="N4" s="12" t="s">
        <v>24</v>
      </c>
      <c r="O4" s="12" t="s">
        <v>25</v>
      </c>
      <c r="P4" s="12" t="s">
        <v>26</v>
      </c>
      <c r="Q4" s="12" t="s">
        <v>27</v>
      </c>
      <c r="R4" s="12" t="s">
        <v>28</v>
      </c>
      <c r="S4" s="12" t="s">
        <v>29</v>
      </c>
      <c r="T4" s="12" t="s">
        <v>30</v>
      </c>
      <c r="U4" s="12" t="s">
        <v>31</v>
      </c>
      <c r="V4" s="12" t="s">
        <v>32</v>
      </c>
      <c r="W4" s="12" t="s">
        <v>33</v>
      </c>
      <c r="X4" s="12" t="s">
        <v>34</v>
      </c>
      <c r="Y4" s="12" t="s">
        <v>35</v>
      </c>
      <c r="Z4" s="12" t="s">
        <v>36</v>
      </c>
      <c r="AA4" s="12" t="s">
        <v>37</v>
      </c>
      <c r="AB4" s="12" t="s">
        <v>38</v>
      </c>
      <c r="AC4" s="12" t="s">
        <v>39</v>
      </c>
      <c r="AD4" s="12" t="s">
        <v>40</v>
      </c>
      <c r="AE4" s="12" t="s">
        <v>41</v>
      </c>
      <c r="AF4" s="12" t="s">
        <v>42</v>
      </c>
      <c r="AG4" s="12" t="s">
        <v>43</v>
      </c>
      <c r="AH4" s="12" t="s">
        <v>44</v>
      </c>
      <c r="AI4" s="12" t="s">
        <v>45</v>
      </c>
      <c r="AJ4" s="12" t="s">
        <v>46</v>
      </c>
      <c r="AK4" s="12" t="s">
        <v>47</v>
      </c>
      <c r="AL4" s="12" t="s">
        <v>48</v>
      </c>
      <c r="AM4" s="12" t="s">
        <v>49</v>
      </c>
      <c r="AN4" s="12" t="s">
        <v>50</v>
      </c>
      <c r="AO4" s="12" t="s">
        <v>51</v>
      </c>
      <c r="AP4" s="12" t="s">
        <v>52</v>
      </c>
      <c r="AQ4" s="12" t="s">
        <v>53</v>
      </c>
      <c r="AR4" s="12" t="s">
        <v>54</v>
      </c>
      <c r="AS4" s="12" t="s">
        <v>55</v>
      </c>
      <c r="AT4" s="12" t="s">
        <v>56</v>
      </c>
      <c r="AU4" s="12" t="s">
        <v>57</v>
      </c>
      <c r="AV4" s="12" t="s">
        <v>58</v>
      </c>
      <c r="AW4" s="12" t="s">
        <v>59</v>
      </c>
      <c r="AX4" s="12" t="s">
        <v>60</v>
      </c>
      <c r="AY4" s="12" t="s">
        <v>61</v>
      </c>
      <c r="AZ4" s="12" t="s">
        <v>62</v>
      </c>
      <c r="BA4" s="13" t="s">
        <v>63</v>
      </c>
    </row>
    <row r="5" spans="1:53" x14ac:dyDescent="0.25">
      <c r="B5" s="14" t="s">
        <v>64</v>
      </c>
      <c r="I5" s="15"/>
      <c r="K5" s="28"/>
      <c r="L5" s="28"/>
      <c r="M5" s="15"/>
    </row>
    <row r="6" spans="1:53" x14ac:dyDescent="0.25">
      <c r="B6" s="16" t="s">
        <v>65</v>
      </c>
      <c r="C6" s="17" t="s">
        <v>851</v>
      </c>
      <c r="D6" s="17" t="s">
        <v>66</v>
      </c>
      <c r="E6" s="18">
        <v>1585.0800000000002</v>
      </c>
      <c r="F6" s="18">
        <f>E6*VLOOKUP('Green+Social Interface'!$I$38,'Look-ups'!$A$15:$B$43,2,0)</f>
        <v>1696.0356000000002</v>
      </c>
      <c r="G6" s="19">
        <v>0.5</v>
      </c>
      <c r="H6" s="116"/>
      <c r="I6" s="21">
        <f>'Green+Social Interface'!$O$6</f>
        <v>7.0000000000000007E-2</v>
      </c>
      <c r="J6" s="22"/>
      <c r="K6" s="32">
        <f t="shared" ref="K6:K11" si="0">IF(AND(L6&gt;0,$B$85&gt;0),L6/$B$85,0)</f>
        <v>0</v>
      </c>
      <c r="L6" s="32">
        <f>AVERAGE(N6:BA6)</f>
        <v>0</v>
      </c>
      <c r="M6" s="151">
        <f>SUM(N6:BA6)</f>
        <v>0</v>
      </c>
      <c r="N6" s="23">
        <f>H6*G6*E6</f>
        <v>0</v>
      </c>
      <c r="O6" s="23">
        <f>N6*(1+'Green+Social Interface'!$I$35)</f>
        <v>0</v>
      </c>
      <c r="P6" s="23">
        <f>O6*(1+'Green+Social Interface'!$I$35)</f>
        <v>0</v>
      </c>
      <c r="Q6" s="23">
        <f>P6*(1+'Green+Social Interface'!$I$35)</f>
        <v>0</v>
      </c>
      <c r="R6" s="23">
        <f>Q6*(1+'Green+Social Interface'!$I$35)</f>
        <v>0</v>
      </c>
      <c r="S6" s="23">
        <f>R6*(1+'Green+Social Interface'!$I$35)</f>
        <v>0</v>
      </c>
      <c r="T6" s="23">
        <f>S6*(1+'Green+Social Interface'!$I$35)</f>
        <v>0</v>
      </c>
      <c r="U6" s="23">
        <f>T6*(1+'Green+Social Interface'!$I$35)</f>
        <v>0</v>
      </c>
      <c r="V6" s="23">
        <f>U6*(1+'Green+Social Interface'!$I$35)</f>
        <v>0</v>
      </c>
      <c r="W6" s="23">
        <f>V6*(1+'Green+Social Interface'!$I$35)</f>
        <v>0</v>
      </c>
      <c r="X6" s="23">
        <f>W6*(1+'Green+Social Interface'!$I$35)</f>
        <v>0</v>
      </c>
      <c r="Y6" s="23">
        <f>X6*(1+'Green+Social Interface'!$I$35)</f>
        <v>0</v>
      </c>
      <c r="Z6" s="23">
        <f>Y6*(1+'Green+Social Interface'!$I$35)</f>
        <v>0</v>
      </c>
      <c r="AA6" s="23">
        <f>Z6*(1+'Green+Social Interface'!$I$35)</f>
        <v>0</v>
      </c>
      <c r="AB6" s="23">
        <f>AA6*(1+'Green+Social Interface'!$I$35)</f>
        <v>0</v>
      </c>
      <c r="AC6" s="23">
        <f>AB6*(1+'Green+Social Interface'!$I$35)</f>
        <v>0</v>
      </c>
      <c r="AD6" s="23">
        <f>AC6*(1+'Green+Social Interface'!$I$35)</f>
        <v>0</v>
      </c>
      <c r="AE6" s="23">
        <f>AD6*(1+'Green+Social Interface'!$I$35)</f>
        <v>0</v>
      </c>
      <c r="AF6" s="23">
        <f>AE6*(1+'Green+Social Interface'!$I$35)</f>
        <v>0</v>
      </c>
      <c r="AG6" s="23">
        <f>AF6*(1+'Green+Social Interface'!$I$35)</f>
        <v>0</v>
      </c>
      <c r="AH6" s="23">
        <f>AG6*(1+'Green+Social Interface'!$I$35)</f>
        <v>0</v>
      </c>
      <c r="AI6" s="23">
        <f>AH6*(1+'Green+Social Interface'!$I$35)</f>
        <v>0</v>
      </c>
      <c r="AJ6" s="23">
        <f>AI6*(1+'Green+Social Interface'!$I$35)</f>
        <v>0</v>
      </c>
      <c r="AK6" s="23">
        <f>AJ6*(1+'Green+Social Interface'!$I$35)</f>
        <v>0</v>
      </c>
      <c r="AL6" s="23">
        <f>AK6*(1+'Green+Social Interface'!$I$35)</f>
        <v>0</v>
      </c>
      <c r="AM6" s="23">
        <f>AL6*(1+'Green+Social Interface'!$I$35)</f>
        <v>0</v>
      </c>
      <c r="AN6" s="23">
        <f>AM6*(1+'Green+Social Interface'!$I$35)</f>
        <v>0</v>
      </c>
      <c r="AO6" s="23">
        <f>AN6*(1+'Green+Social Interface'!$I$35)</f>
        <v>0</v>
      </c>
      <c r="AP6" s="23">
        <f>AO6*(1+'Green+Social Interface'!$I$35)</f>
        <v>0</v>
      </c>
      <c r="AQ6" s="23">
        <f>AP6*(1+'Green+Social Interface'!$I$35)</f>
        <v>0</v>
      </c>
      <c r="AR6" s="23">
        <f>AQ6*(1+'Green+Social Interface'!$I$35)</f>
        <v>0</v>
      </c>
      <c r="AS6" s="23">
        <f>AR6*(1+'Green+Social Interface'!$I$35)</f>
        <v>0</v>
      </c>
      <c r="AT6" s="23">
        <f>AS6*(1+'Green+Social Interface'!$I$35)</f>
        <v>0</v>
      </c>
      <c r="AU6" s="23">
        <f>AT6*(1+'Green+Social Interface'!$I$35)</f>
        <v>0</v>
      </c>
      <c r="AV6" s="23">
        <f>AU6*(1+'Green+Social Interface'!$I$35)</f>
        <v>0</v>
      </c>
      <c r="AW6" s="23">
        <f>AV6*(1+'Green+Social Interface'!$I$35)</f>
        <v>0</v>
      </c>
      <c r="AX6" s="23">
        <f>AW6*(1+'Green+Social Interface'!$I$35)</f>
        <v>0</v>
      </c>
      <c r="AY6" s="23">
        <f>AX6*(1+'Green+Social Interface'!$I$35)</f>
        <v>0</v>
      </c>
      <c r="AZ6" s="23">
        <f>AY6*(1+'Green+Social Interface'!$I$35)</f>
        <v>0</v>
      </c>
      <c r="BA6" s="23">
        <f>AZ6*(1+'Green+Social Interface'!$I$35)</f>
        <v>0</v>
      </c>
    </row>
    <row r="7" spans="1:53" x14ac:dyDescent="0.25">
      <c r="B7" s="24"/>
      <c r="C7" s="25" t="s">
        <v>852</v>
      </c>
      <c r="D7" s="25" t="s">
        <v>66</v>
      </c>
      <c r="E7" s="26">
        <v>12370</v>
      </c>
      <c r="F7" s="18">
        <f>E7*VLOOKUP('Green+Social Interface'!$I$38,'Look-ups'!$A$15:$B$43,2,0)</f>
        <v>13235.900000000001</v>
      </c>
      <c r="G7" s="27">
        <v>0.8</v>
      </c>
      <c r="H7" s="20">
        <f>'Green+Social Interface'!$E$6+'Green+Social Interface'!$F$6</f>
        <v>0</v>
      </c>
      <c r="I7" s="21">
        <f>'Green+Social Interface'!$O$6</f>
        <v>7.0000000000000007E-2</v>
      </c>
      <c r="J7" s="125"/>
      <c r="K7" s="32">
        <f t="shared" si="0"/>
        <v>0</v>
      </c>
      <c r="L7" s="32">
        <f>AVERAGE(N7:BA7)</f>
        <v>0</v>
      </c>
      <c r="M7" s="151">
        <f>SUM(N7:BA7)</f>
        <v>0</v>
      </c>
      <c r="N7" s="23">
        <f>IF('Green+Social Interface'!$J$6="Yes",'Social Infrastructure'!F7*'Social Infrastructure'!G7*'Social Infrastructure'!H7,'Social Infrastructure'!F6*'Social Infrastructure'!G6*'Social Infrastructure'!H7)</f>
        <v>0</v>
      </c>
      <c r="O7" s="23">
        <f>N7*(1+'Green+Social Interface'!$I$35)</f>
        <v>0</v>
      </c>
      <c r="P7" s="23">
        <f>O7*(1+'Green+Social Interface'!$I$35)</f>
        <v>0</v>
      </c>
      <c r="Q7" s="23">
        <f>P7*(1+'Green+Social Interface'!$I$35)</f>
        <v>0</v>
      </c>
      <c r="R7" s="23">
        <f>Q7*(1+'Green+Social Interface'!$I$35)</f>
        <v>0</v>
      </c>
      <c r="S7" s="23">
        <f>R7*(1+'Green+Social Interface'!$I$35)</f>
        <v>0</v>
      </c>
      <c r="T7" s="23">
        <f>S7*(1+'Green+Social Interface'!$I$35)</f>
        <v>0</v>
      </c>
      <c r="U7" s="23">
        <f>T7*(1+'Green+Social Interface'!$I$35)</f>
        <v>0</v>
      </c>
      <c r="V7" s="23">
        <f>U7*(1+'Green+Social Interface'!$I$35)</f>
        <v>0</v>
      </c>
      <c r="W7" s="23">
        <f>V7*(1+'Green+Social Interface'!$I$35)</f>
        <v>0</v>
      </c>
      <c r="X7" s="23">
        <f>W7*(1+'Green+Social Interface'!$I$35)</f>
        <v>0</v>
      </c>
      <c r="Y7" s="23">
        <f>X7*(1+'Green+Social Interface'!$I$35)</f>
        <v>0</v>
      </c>
      <c r="Z7" s="23">
        <f>Y7*(1+'Green+Social Interface'!$I$35)</f>
        <v>0</v>
      </c>
      <c r="AA7" s="23">
        <f>Z7*(1+'Green+Social Interface'!$I$35)</f>
        <v>0</v>
      </c>
      <c r="AB7" s="23">
        <f>AA7*(1+'Green+Social Interface'!$I$35)</f>
        <v>0</v>
      </c>
      <c r="AC7" s="23">
        <f>AB7*(1+'Green+Social Interface'!$I$35)</f>
        <v>0</v>
      </c>
      <c r="AD7" s="23">
        <f>AC7*(1+'Green+Social Interface'!$I$35)</f>
        <v>0</v>
      </c>
      <c r="AE7" s="23">
        <f>AD7*(1+'Green+Social Interface'!$I$35)</f>
        <v>0</v>
      </c>
      <c r="AF7" s="23">
        <f>AE7*(1+'Green+Social Interface'!$I$35)</f>
        <v>0</v>
      </c>
      <c r="AG7" s="23">
        <f>AF7*(1+'Green+Social Interface'!$I$35)</f>
        <v>0</v>
      </c>
      <c r="AH7" s="23">
        <f>AG7*(1+'Green+Social Interface'!$I$35)</f>
        <v>0</v>
      </c>
      <c r="AI7" s="23">
        <f>AH7*(1+'Green+Social Interface'!$I$35)</f>
        <v>0</v>
      </c>
      <c r="AJ7" s="23">
        <f>AI7*(1+'Green+Social Interface'!$I$35)</f>
        <v>0</v>
      </c>
      <c r="AK7" s="23">
        <f>AJ7*(1+'Green+Social Interface'!$I$35)</f>
        <v>0</v>
      </c>
      <c r="AL7" s="23">
        <f>AK7*(1+'Green+Social Interface'!$I$35)</f>
        <v>0</v>
      </c>
      <c r="AM7" s="23">
        <f>AL7*(1+'Green+Social Interface'!$I$35)</f>
        <v>0</v>
      </c>
      <c r="AN7" s="23">
        <f>AM7*(1+'Green+Social Interface'!$I$35)</f>
        <v>0</v>
      </c>
      <c r="AO7" s="23">
        <f>AN7*(1+'Green+Social Interface'!$I$35)</f>
        <v>0</v>
      </c>
      <c r="AP7" s="23">
        <f>AO7*(1+'Green+Social Interface'!$I$35)</f>
        <v>0</v>
      </c>
      <c r="AQ7" s="23">
        <f>AP7*(1+'Green+Social Interface'!$I$35)</f>
        <v>0</v>
      </c>
      <c r="AR7" s="23">
        <f>AQ7*(1+'Green+Social Interface'!$I$35)</f>
        <v>0</v>
      </c>
      <c r="AS7" s="23">
        <f>AR7*(1+'Green+Social Interface'!$I$35)</f>
        <v>0</v>
      </c>
      <c r="AT7" s="23">
        <f>AS7*(1+'Green+Social Interface'!$I$35)</f>
        <v>0</v>
      </c>
      <c r="AU7" s="23">
        <f>AT7*(1+'Green+Social Interface'!$I$35)</f>
        <v>0</v>
      </c>
      <c r="AV7" s="23">
        <f>AU7*(1+'Green+Social Interface'!$I$35)</f>
        <v>0</v>
      </c>
      <c r="AW7" s="23">
        <f>AV7*(1+'Green+Social Interface'!$I$35)</f>
        <v>0</v>
      </c>
      <c r="AX7" s="23">
        <f>AW7*(1+'Green+Social Interface'!$I$35)</f>
        <v>0</v>
      </c>
      <c r="AY7" s="23">
        <f>AX7*(1+'Green+Social Interface'!$I$35)</f>
        <v>0</v>
      </c>
      <c r="AZ7" s="23">
        <f>AY7*(1+'Green+Social Interface'!$I$35)</f>
        <v>0</v>
      </c>
      <c r="BA7" s="23">
        <f>AZ7*(1+'Green+Social Interface'!$I$35)</f>
        <v>0</v>
      </c>
    </row>
    <row r="8" spans="1:53" x14ac:dyDescent="0.25">
      <c r="B8" s="24"/>
      <c r="C8" s="25" t="s">
        <v>853</v>
      </c>
      <c r="D8" s="25" t="s">
        <v>66</v>
      </c>
      <c r="E8" s="26">
        <v>5700</v>
      </c>
      <c r="F8" s="18">
        <f>E8*VLOOKUP('Green+Social Interface'!$I$38,'Look-ups'!$A$15:$B$43,2,0)</f>
        <v>6099</v>
      </c>
      <c r="G8" s="27">
        <v>0.8</v>
      </c>
      <c r="H8" s="20">
        <f>'Green+Social Interface'!$E$7+'Green+Social Interface'!$F$7</f>
        <v>0</v>
      </c>
      <c r="I8" s="21">
        <f>'Green+Social Interface'!$O$6</f>
        <v>7.0000000000000007E-2</v>
      </c>
      <c r="J8" s="125"/>
      <c r="K8" s="32">
        <f t="shared" si="0"/>
        <v>0</v>
      </c>
      <c r="L8" s="32">
        <f>AVERAGE(N8:BA8)</f>
        <v>0</v>
      </c>
      <c r="M8" s="151">
        <f>SUM(N8:BA8)</f>
        <v>0</v>
      </c>
      <c r="N8" s="23">
        <f>IF('Green+Social Interface'!$J$7="Yes",'Social Infrastructure'!F8*'Social Infrastructure'!G8*'Social Infrastructure'!H8,'Social Infrastructure'!$F$6*'Social Infrastructure'!$G$6*'Social Infrastructure'!H8)</f>
        <v>0</v>
      </c>
      <c r="O8" s="23">
        <f>N8*(1+'Green+Social Interface'!$I$35)</f>
        <v>0</v>
      </c>
      <c r="P8" s="23">
        <f>O8*(1+'Green+Social Interface'!$I$35)</f>
        <v>0</v>
      </c>
      <c r="Q8" s="23">
        <f>P8*(1+'Green+Social Interface'!$I$35)</f>
        <v>0</v>
      </c>
      <c r="R8" s="23">
        <f>Q8*(1+'Green+Social Interface'!$I$35)</f>
        <v>0</v>
      </c>
      <c r="S8" s="23">
        <f>R8*(1+'Green+Social Interface'!$I$35)</f>
        <v>0</v>
      </c>
      <c r="T8" s="23">
        <f>S8*(1+'Green+Social Interface'!$I$35)</f>
        <v>0</v>
      </c>
      <c r="U8" s="23">
        <f>T8*(1+'Green+Social Interface'!$I$35)</f>
        <v>0</v>
      </c>
      <c r="V8" s="23">
        <f>U8*(1+'Green+Social Interface'!$I$35)</f>
        <v>0</v>
      </c>
      <c r="W8" s="23">
        <f>V8*(1+'Green+Social Interface'!$I$35)</f>
        <v>0</v>
      </c>
      <c r="X8" s="23">
        <f>W8*(1+'Green+Social Interface'!$I$35)</f>
        <v>0</v>
      </c>
      <c r="Y8" s="23">
        <f>X8*(1+'Green+Social Interface'!$I$35)</f>
        <v>0</v>
      </c>
      <c r="Z8" s="23">
        <f>Y8*(1+'Green+Social Interface'!$I$35)</f>
        <v>0</v>
      </c>
      <c r="AA8" s="23">
        <f>Z8*(1+'Green+Social Interface'!$I$35)</f>
        <v>0</v>
      </c>
      <c r="AB8" s="23">
        <f>AA8*(1+'Green+Social Interface'!$I$35)</f>
        <v>0</v>
      </c>
      <c r="AC8" s="23">
        <f>AB8*(1+'Green+Social Interface'!$I$35)</f>
        <v>0</v>
      </c>
      <c r="AD8" s="23">
        <f>AC8*(1+'Green+Social Interface'!$I$35)</f>
        <v>0</v>
      </c>
      <c r="AE8" s="23">
        <f>AD8*(1+'Green+Social Interface'!$I$35)</f>
        <v>0</v>
      </c>
      <c r="AF8" s="23">
        <f>AE8*(1+'Green+Social Interface'!$I$35)</f>
        <v>0</v>
      </c>
      <c r="AG8" s="23">
        <f>AF8*(1+'Green+Social Interface'!$I$35)</f>
        <v>0</v>
      </c>
      <c r="AH8" s="23">
        <f>AG8*(1+'Green+Social Interface'!$I$35)</f>
        <v>0</v>
      </c>
      <c r="AI8" s="23">
        <f>AH8*(1+'Green+Social Interface'!$I$35)</f>
        <v>0</v>
      </c>
      <c r="AJ8" s="23">
        <f>AI8*(1+'Green+Social Interface'!$I$35)</f>
        <v>0</v>
      </c>
      <c r="AK8" s="23">
        <f>AJ8*(1+'Green+Social Interface'!$I$35)</f>
        <v>0</v>
      </c>
      <c r="AL8" s="23">
        <f>AK8*(1+'Green+Social Interface'!$I$35)</f>
        <v>0</v>
      </c>
      <c r="AM8" s="23">
        <f>AL8*(1+'Green+Social Interface'!$I$35)</f>
        <v>0</v>
      </c>
      <c r="AN8" s="23">
        <f>AM8*(1+'Green+Social Interface'!$I$35)</f>
        <v>0</v>
      </c>
      <c r="AO8" s="23">
        <f>AN8*(1+'Green+Social Interface'!$I$35)</f>
        <v>0</v>
      </c>
      <c r="AP8" s="23">
        <f>AO8*(1+'Green+Social Interface'!$I$35)</f>
        <v>0</v>
      </c>
      <c r="AQ8" s="23">
        <f>AP8*(1+'Green+Social Interface'!$I$35)</f>
        <v>0</v>
      </c>
      <c r="AR8" s="23">
        <f>AQ8*(1+'Green+Social Interface'!$I$35)</f>
        <v>0</v>
      </c>
      <c r="AS8" s="23">
        <f>AR8*(1+'Green+Social Interface'!$I$35)</f>
        <v>0</v>
      </c>
      <c r="AT8" s="23">
        <f>AS8*(1+'Green+Social Interface'!$I$35)</f>
        <v>0</v>
      </c>
      <c r="AU8" s="23">
        <f>AT8*(1+'Green+Social Interface'!$I$35)</f>
        <v>0</v>
      </c>
      <c r="AV8" s="23">
        <f>AU8*(1+'Green+Social Interface'!$I$35)</f>
        <v>0</v>
      </c>
      <c r="AW8" s="23">
        <f>AV8*(1+'Green+Social Interface'!$I$35)</f>
        <v>0</v>
      </c>
      <c r="AX8" s="23">
        <f>AW8*(1+'Green+Social Interface'!$I$35)</f>
        <v>0</v>
      </c>
      <c r="AY8" s="23">
        <f>AX8*(1+'Green+Social Interface'!$I$35)</f>
        <v>0</v>
      </c>
      <c r="AZ8" s="23">
        <f>AY8*(1+'Green+Social Interface'!$I$35)</f>
        <v>0</v>
      </c>
      <c r="BA8" s="23">
        <f>AZ8*(1+'Green+Social Interface'!$I$35)</f>
        <v>0</v>
      </c>
    </row>
    <row r="9" spans="1:53" x14ac:dyDescent="0.25">
      <c r="B9" s="24"/>
      <c r="C9" s="25" t="s">
        <v>1014</v>
      </c>
      <c r="D9" s="25" t="s">
        <v>66</v>
      </c>
      <c r="E9" s="26">
        <v>4722</v>
      </c>
      <c r="F9" s="18">
        <f>E9*VLOOKUP('Green+Social Interface'!$I$38,'Look-ups'!$A$15:$B$43,2,0)</f>
        <v>5052.54</v>
      </c>
      <c r="G9" s="27">
        <v>0.8</v>
      </c>
      <c r="H9" s="20">
        <f>'Green+Social Interface'!$E$8+'Green+Social Interface'!$F$8</f>
        <v>0</v>
      </c>
      <c r="I9" s="21">
        <f>'Green+Social Interface'!$O$6</f>
        <v>7.0000000000000007E-2</v>
      </c>
      <c r="J9" s="125"/>
      <c r="K9" s="32">
        <f t="shared" si="0"/>
        <v>0</v>
      </c>
      <c r="L9" s="32">
        <f t="shared" ref="L9:L10" si="1">AVERAGE(N9:BA9)</f>
        <v>0</v>
      </c>
      <c r="M9" s="151">
        <f t="shared" ref="M9:M10" si="2">SUM(N9:BA9)</f>
        <v>0</v>
      </c>
      <c r="N9" s="23">
        <f>IF('Green+Social Interface'!J6="Yes",'Social Infrastructure'!F9*'Social Infrastructure'!G9*'Social Infrastructure'!H9,'Social Infrastructure'!$F$6*'Social Infrastructure'!$G$6*'Social Infrastructure'!H9)</f>
        <v>0</v>
      </c>
      <c r="O9" s="23">
        <f>N9*(1+'Green+Social Interface'!$I$35)</f>
        <v>0</v>
      </c>
      <c r="P9" s="23">
        <f>O9*(1+'Green+Social Interface'!$I$35)</f>
        <v>0</v>
      </c>
      <c r="Q9" s="23">
        <f>P9*(1+'Green+Social Interface'!$I$35)</f>
        <v>0</v>
      </c>
      <c r="R9" s="23">
        <f>Q9*(1+'Green+Social Interface'!$I$35)</f>
        <v>0</v>
      </c>
      <c r="S9" s="23">
        <f>R9*(1+'Green+Social Interface'!$I$35)</f>
        <v>0</v>
      </c>
      <c r="T9" s="23">
        <f>S9*(1+'Green+Social Interface'!$I$35)</f>
        <v>0</v>
      </c>
      <c r="U9" s="23">
        <f>T9*(1+'Green+Social Interface'!$I$35)</f>
        <v>0</v>
      </c>
      <c r="V9" s="23">
        <f>U9*(1+'Green+Social Interface'!$I$35)</f>
        <v>0</v>
      </c>
      <c r="W9" s="23">
        <f>V9*(1+'Green+Social Interface'!$I$35)</f>
        <v>0</v>
      </c>
      <c r="X9" s="23">
        <f>W9*(1+'Green+Social Interface'!$I$35)</f>
        <v>0</v>
      </c>
      <c r="Y9" s="23">
        <f>X9*(1+'Green+Social Interface'!$I$35)</f>
        <v>0</v>
      </c>
      <c r="Z9" s="23">
        <f>Y9*(1+'Green+Social Interface'!$I$35)</f>
        <v>0</v>
      </c>
      <c r="AA9" s="23">
        <f>Z9*(1+'Green+Social Interface'!$I$35)</f>
        <v>0</v>
      </c>
      <c r="AB9" s="23">
        <f>AA9*(1+'Green+Social Interface'!$I$35)</f>
        <v>0</v>
      </c>
      <c r="AC9" s="23">
        <f>AB9*(1+'Green+Social Interface'!$I$35)</f>
        <v>0</v>
      </c>
      <c r="AD9" s="23">
        <f>AC9*(1+'Green+Social Interface'!$I$35)</f>
        <v>0</v>
      </c>
      <c r="AE9" s="23">
        <f>AD9*(1+'Green+Social Interface'!$I$35)</f>
        <v>0</v>
      </c>
      <c r="AF9" s="23">
        <f>AE9*(1+'Green+Social Interface'!$I$35)</f>
        <v>0</v>
      </c>
      <c r="AG9" s="23">
        <f>AF9*(1+'Green+Social Interface'!$I$35)</f>
        <v>0</v>
      </c>
      <c r="AH9" s="23">
        <f>AG9*(1+'Green+Social Interface'!$I$35)</f>
        <v>0</v>
      </c>
      <c r="AI9" s="23">
        <f>AH9*(1+'Green+Social Interface'!$I$35)</f>
        <v>0</v>
      </c>
      <c r="AJ9" s="23">
        <f>AI9*(1+'Green+Social Interface'!$I$35)</f>
        <v>0</v>
      </c>
      <c r="AK9" s="23">
        <f>AJ9*(1+'Green+Social Interface'!$I$35)</f>
        <v>0</v>
      </c>
      <c r="AL9" s="23">
        <f>AK9*(1+'Green+Social Interface'!$I$35)</f>
        <v>0</v>
      </c>
      <c r="AM9" s="23">
        <f>AL9*(1+'Green+Social Interface'!$I$35)</f>
        <v>0</v>
      </c>
      <c r="AN9" s="23">
        <f>AM9*(1+'Green+Social Interface'!$I$35)</f>
        <v>0</v>
      </c>
      <c r="AO9" s="23">
        <f>AN9*(1+'Green+Social Interface'!$I$35)</f>
        <v>0</v>
      </c>
      <c r="AP9" s="23">
        <f>AO9*(1+'Green+Social Interface'!$I$35)</f>
        <v>0</v>
      </c>
      <c r="AQ9" s="23">
        <f>AP9*(1+'Green+Social Interface'!$I$35)</f>
        <v>0</v>
      </c>
      <c r="AR9" s="23">
        <f>AQ9*(1+'Green+Social Interface'!$I$35)</f>
        <v>0</v>
      </c>
      <c r="AS9" s="23">
        <f>AR9*(1+'Green+Social Interface'!$I$35)</f>
        <v>0</v>
      </c>
      <c r="AT9" s="23">
        <f>AS9*(1+'Green+Social Interface'!$I$35)</f>
        <v>0</v>
      </c>
      <c r="AU9" s="23">
        <f>AT9*(1+'Green+Social Interface'!$I$35)</f>
        <v>0</v>
      </c>
      <c r="AV9" s="23">
        <f>AU9*(1+'Green+Social Interface'!$I$35)</f>
        <v>0</v>
      </c>
      <c r="AW9" s="23">
        <f>AV9*(1+'Green+Social Interface'!$I$35)</f>
        <v>0</v>
      </c>
      <c r="AX9" s="23">
        <f>AW9*(1+'Green+Social Interface'!$I$35)</f>
        <v>0</v>
      </c>
      <c r="AY9" s="23">
        <f>AX9*(1+'Green+Social Interface'!$I$35)</f>
        <v>0</v>
      </c>
      <c r="AZ9" s="23">
        <f>AY9*(1+'Green+Social Interface'!$I$35)</f>
        <v>0</v>
      </c>
      <c r="BA9" s="23">
        <f>AZ9*(1+'Green+Social Interface'!$I$35)</f>
        <v>0</v>
      </c>
    </row>
    <row r="10" spans="1:53" x14ac:dyDescent="0.25">
      <c r="B10" s="24"/>
      <c r="C10" s="25" t="s">
        <v>1015</v>
      </c>
      <c r="D10" s="25" t="s">
        <v>66</v>
      </c>
      <c r="E10" s="26">
        <v>1914</v>
      </c>
      <c r="F10" s="18">
        <f>E10*VLOOKUP('Green+Social Interface'!$I$38,'Look-ups'!$A$15:$B$43,2,0)</f>
        <v>2047.98</v>
      </c>
      <c r="G10" s="27">
        <v>0.8</v>
      </c>
      <c r="H10" s="20">
        <f>'Green+Social Interface'!$E$9+'Green+Social Interface'!$F$9</f>
        <v>0</v>
      </c>
      <c r="I10" s="21">
        <f>'Green+Social Interface'!$O$6</f>
        <v>7.0000000000000007E-2</v>
      </c>
      <c r="J10" s="125"/>
      <c r="K10" s="32">
        <f t="shared" si="0"/>
        <v>0</v>
      </c>
      <c r="L10" s="32">
        <f t="shared" si="1"/>
        <v>0</v>
      </c>
      <c r="M10" s="151">
        <f t="shared" si="2"/>
        <v>0</v>
      </c>
      <c r="N10" s="23">
        <f>IF('Green+Social Interface'!J7="Yes",'Social Infrastructure'!F10*'Social Infrastructure'!G10*'Social Infrastructure'!H10,'Social Infrastructure'!$F$10*'Social Infrastructure'!$G$6*'Social Infrastructure'!H10)</f>
        <v>0</v>
      </c>
      <c r="O10" s="23">
        <f>N10*(1+'Green+Social Interface'!$I$35)</f>
        <v>0</v>
      </c>
      <c r="P10" s="23">
        <f>O10*(1+'Green+Social Interface'!$I$35)</f>
        <v>0</v>
      </c>
      <c r="Q10" s="23">
        <f>P10*(1+'Green+Social Interface'!$I$35)</f>
        <v>0</v>
      </c>
      <c r="R10" s="23">
        <f>Q10*(1+'Green+Social Interface'!$I$35)</f>
        <v>0</v>
      </c>
      <c r="S10" s="23">
        <f>R10*(1+'Green+Social Interface'!$I$35)</f>
        <v>0</v>
      </c>
      <c r="T10" s="23">
        <f>S10*(1+'Green+Social Interface'!$I$35)</f>
        <v>0</v>
      </c>
      <c r="U10" s="23">
        <f>T10*(1+'Green+Social Interface'!$I$35)</f>
        <v>0</v>
      </c>
      <c r="V10" s="23">
        <f>U10*(1+'Green+Social Interface'!$I$35)</f>
        <v>0</v>
      </c>
      <c r="W10" s="23">
        <f>V10*(1+'Green+Social Interface'!$I$35)</f>
        <v>0</v>
      </c>
      <c r="X10" s="23">
        <f>W10*(1+'Green+Social Interface'!$I$35)</f>
        <v>0</v>
      </c>
      <c r="Y10" s="23">
        <f>X10*(1+'Green+Social Interface'!$I$35)</f>
        <v>0</v>
      </c>
      <c r="Z10" s="23">
        <f>Y10*(1+'Green+Social Interface'!$I$35)</f>
        <v>0</v>
      </c>
      <c r="AA10" s="23">
        <f>Z10*(1+'Green+Social Interface'!$I$35)</f>
        <v>0</v>
      </c>
      <c r="AB10" s="23">
        <f>AA10*(1+'Green+Social Interface'!$I$35)</f>
        <v>0</v>
      </c>
      <c r="AC10" s="23">
        <f>AB10*(1+'Green+Social Interface'!$I$35)</f>
        <v>0</v>
      </c>
      <c r="AD10" s="23">
        <f>AC10*(1+'Green+Social Interface'!$I$35)</f>
        <v>0</v>
      </c>
      <c r="AE10" s="23">
        <f>AD10*(1+'Green+Social Interface'!$I$35)</f>
        <v>0</v>
      </c>
      <c r="AF10" s="23">
        <f>AE10*(1+'Green+Social Interface'!$I$35)</f>
        <v>0</v>
      </c>
      <c r="AG10" s="23">
        <f>AF10*(1+'Green+Social Interface'!$I$35)</f>
        <v>0</v>
      </c>
      <c r="AH10" s="23">
        <f>AG10*(1+'Green+Social Interface'!$I$35)</f>
        <v>0</v>
      </c>
      <c r="AI10" s="23">
        <f>AH10*(1+'Green+Social Interface'!$I$35)</f>
        <v>0</v>
      </c>
      <c r="AJ10" s="23">
        <f>AI10*(1+'Green+Social Interface'!$I$35)</f>
        <v>0</v>
      </c>
      <c r="AK10" s="23">
        <f>AJ10*(1+'Green+Social Interface'!$I$35)</f>
        <v>0</v>
      </c>
      <c r="AL10" s="23">
        <f>AK10*(1+'Green+Social Interface'!$I$35)</f>
        <v>0</v>
      </c>
      <c r="AM10" s="23">
        <f>AL10*(1+'Green+Social Interface'!$I$35)</f>
        <v>0</v>
      </c>
      <c r="AN10" s="23">
        <f>AM10*(1+'Green+Social Interface'!$I$35)</f>
        <v>0</v>
      </c>
      <c r="AO10" s="23">
        <f>AN10*(1+'Green+Social Interface'!$I$35)</f>
        <v>0</v>
      </c>
      <c r="AP10" s="23">
        <f>AO10*(1+'Green+Social Interface'!$I$35)</f>
        <v>0</v>
      </c>
      <c r="AQ10" s="23">
        <f>AP10*(1+'Green+Social Interface'!$I$35)</f>
        <v>0</v>
      </c>
      <c r="AR10" s="23">
        <f>AQ10*(1+'Green+Social Interface'!$I$35)</f>
        <v>0</v>
      </c>
      <c r="AS10" s="23">
        <f>AR10*(1+'Green+Social Interface'!$I$35)</f>
        <v>0</v>
      </c>
      <c r="AT10" s="23">
        <f>AS10*(1+'Green+Social Interface'!$I$35)</f>
        <v>0</v>
      </c>
      <c r="AU10" s="23">
        <f>AT10*(1+'Green+Social Interface'!$I$35)</f>
        <v>0</v>
      </c>
      <c r="AV10" s="23">
        <f>AU10*(1+'Green+Social Interface'!$I$35)</f>
        <v>0</v>
      </c>
      <c r="AW10" s="23">
        <f>AV10*(1+'Green+Social Interface'!$I$35)</f>
        <v>0</v>
      </c>
      <c r="AX10" s="23">
        <f>AW10*(1+'Green+Social Interface'!$I$35)</f>
        <v>0</v>
      </c>
      <c r="AY10" s="23">
        <f>AX10*(1+'Green+Social Interface'!$I$35)</f>
        <v>0</v>
      </c>
      <c r="AZ10" s="23">
        <f>AY10*(1+'Green+Social Interface'!$I$35)</f>
        <v>0</v>
      </c>
      <c r="BA10" s="23">
        <f>AZ10*(1+'Green+Social Interface'!$I$35)</f>
        <v>0</v>
      </c>
    </row>
    <row r="11" spans="1:53" s="165" customFormat="1" x14ac:dyDescent="0.25">
      <c r="B11" s="219"/>
      <c r="C11" s="25" t="s">
        <v>1</v>
      </c>
      <c r="D11" s="25" t="s">
        <v>66</v>
      </c>
      <c r="E11" s="26">
        <v>-3360</v>
      </c>
      <c r="F11" s="18">
        <f>E11*VLOOKUP('Green+Social Interface'!$I$38,'Look-ups'!$A$15:$B$43,2,0)</f>
        <v>-3595.2000000000003</v>
      </c>
      <c r="G11" s="27">
        <v>1</v>
      </c>
      <c r="H11" s="25">
        <f>'Green+Social Interface'!$E$11++'Green+Social Interface'!$F$11</f>
        <v>0</v>
      </c>
      <c r="I11" s="21">
        <f>'Green+Social Interface'!$O$6</f>
        <v>7.0000000000000007E-2</v>
      </c>
      <c r="J11" s="125"/>
      <c r="K11" s="32">
        <f t="shared" si="0"/>
        <v>0</v>
      </c>
      <c r="L11" s="32">
        <f>AVERAGE(N11:BA11)</f>
        <v>0</v>
      </c>
      <c r="M11" s="151">
        <f>SUM(N11:BA11)</f>
        <v>0</v>
      </c>
      <c r="N11" s="23">
        <f>H11*G11*F11</f>
        <v>0</v>
      </c>
      <c r="O11" s="23">
        <f>IF(O$3&lt;5,N11*(1+$Q$107)+($G11*$H11*2340)*VLOOKUP('Green+Social Interface'!$I$38,'Look-ups'!$A$15:$B$43,2,0)*(1-$I11)^(O$3-1)*(1+$Q$107)^(O$3-1),N11*(1+$Q$107))</f>
        <v>0</v>
      </c>
      <c r="P11" s="23">
        <f>IF(P$3&lt;5,O11*(1+$Q$107)+($G11*$H11*2340)*VLOOKUP('Green+Social Interface'!$I$38,'Look-ups'!$A$15:$B$43,2,0)*(1-$I11)^(P$3-1)*(1+$Q$107)^(P$3-1),O11*(1+$Q$107))</f>
        <v>0</v>
      </c>
      <c r="Q11" s="23">
        <f>IF(Q$3&lt;5,P11*(1+$Q$107)+($G11*$H11*2340)*VLOOKUP('Green+Social Interface'!$I$38,'Look-ups'!$A$15:$B$43,2,0)*(1-$I11)^(Q$3-1)*(1+$Q$107)^(Q$3-1),P11*(1+$Q$107))</f>
        <v>0</v>
      </c>
      <c r="R11" s="23">
        <f>IF(R$3&lt;5,Q11*(1+$Q$107)+($G11*$H11*2340)*VLOOKUP('Green+Social Interface'!$I$38,'Look-ups'!$A$15:$B$43,2,0)*(1-$I11)^(R$3-1)*(1+$Q$107)^(R$3-1),Q11*(1+$Q$107))</f>
        <v>0</v>
      </c>
      <c r="S11" s="23">
        <f>IF(S$3&lt;5,R11*(1+$Q$107)+($G11*$H11*2340)*VLOOKUP('Green+Social Interface'!$I$38,'Look-ups'!$A$15:$B$43,2,0)*(1-$I11)^(S$3-1)*(1+$Q$107)^(S$3-1),R11*(1+$Q$107))</f>
        <v>0</v>
      </c>
      <c r="T11" s="23">
        <f>IF(T$3&lt;5,S11*(1+$Q$107)+($G11*$H11*2340)*VLOOKUP('Green+Social Interface'!$I$38,'Look-ups'!$A$15:$B$43,2,0)*(1-$I11)^(T$3-1)*(1+$Q$107)^(T$3-1),S11*(1+$Q$107))</f>
        <v>0</v>
      </c>
      <c r="U11" s="23">
        <f>IF(U$3&lt;5,T11*(1+$Q$107)+($G11*$H11*2340)*VLOOKUP('Green+Social Interface'!$I$38,'Look-ups'!$A$15:$B$43,2,0)*(1-$I11)^(U$3-1)*(1+$Q$107)^(U$3-1),T11*(1+$Q$107))</f>
        <v>0</v>
      </c>
      <c r="V11" s="23">
        <f>IF(V$3&lt;5,U11*(1+$Q$107)+($G11*$H11*2340)*VLOOKUP('Green+Social Interface'!$I$38,'Look-ups'!$A$15:$B$43,2,0)*(1-$I11)^(V$3-1)*(1+$Q$107)^(V$3-1),U11*(1+$Q$107))</f>
        <v>0</v>
      </c>
      <c r="W11" s="23">
        <f>IF(W$3&lt;5,V11*(1+$Q$107)+($G11*$H11*2340)*VLOOKUP('Green+Social Interface'!$I$38,'Look-ups'!$A$15:$B$43,2,0)*(1-$I11)^(W$3-1)*(1+$Q$107)^(W$3-1),V11*(1+$Q$107))</f>
        <v>0</v>
      </c>
      <c r="X11" s="23">
        <f>IF(X$3&lt;5,W11*(1+$Q$107)+($G11*$H11*2340)*VLOOKUP('Green+Social Interface'!$I$38,'Look-ups'!$A$15:$B$43,2,0)*(1-$I11)^(X$3-1)*(1+$Q$107)^(X$3-1),W11*(1+$Q$107))</f>
        <v>0</v>
      </c>
      <c r="Y11" s="23">
        <f>IF(Y$3&lt;5,X11*(1+$Q$107)+($G11*$H11*2340)*VLOOKUP('Green+Social Interface'!$I$38,'Look-ups'!$A$15:$B$43,2,0)*(1-$I11)^(Y$3-1)*(1+$Q$107)^(Y$3-1),X11*(1+$Q$107))</f>
        <v>0</v>
      </c>
      <c r="Z11" s="23">
        <f>IF(Z$3&lt;5,Y11*(1+$Q$107)+($G11*$H11*2340)*VLOOKUP('Green+Social Interface'!$I$38,'Look-ups'!$A$15:$B$43,2,0)*(1-$I11)^(Z$3-1)*(1+$Q$107)^(Z$3-1),Y11*(1+$Q$107))</f>
        <v>0</v>
      </c>
      <c r="AA11" s="23">
        <f>IF(AA$3&lt;5,Z11*(1+$Q$107)+($G11*$H11*2340)*VLOOKUP('Green+Social Interface'!$I$38,'Look-ups'!$A$15:$B$43,2,0)*(1-$I11)^(AA$3-1)*(1+$Q$107)^(AA$3-1),Z11*(1+$Q$107))</f>
        <v>0</v>
      </c>
      <c r="AB11" s="23">
        <f>IF(AB$3&lt;5,AA11*(1+$Q$107)+($G11*$H11*2340)*VLOOKUP('Green+Social Interface'!$I$38,'Look-ups'!$A$15:$B$43,2,0)*(1-$I11)^(AB$3-1)*(1+$Q$107)^(AB$3-1),AA11*(1+$Q$107))</f>
        <v>0</v>
      </c>
      <c r="AC11" s="23">
        <f>IF(AC$3&lt;5,AB11*(1+$Q$107)+($G11*$H11*2340)*VLOOKUP('Green+Social Interface'!$I$38,'Look-ups'!$A$15:$B$43,2,0)*(1-$I11)^(AC$3-1)*(1+$Q$107)^(AC$3-1),AB11*(1+$Q$107))</f>
        <v>0</v>
      </c>
      <c r="AD11" s="23">
        <f>IF(AD$3&lt;5,AC11*(1+$Q$107)+($G11*$H11*2340)*VLOOKUP('Green+Social Interface'!$I$38,'Look-ups'!$A$15:$B$43,2,0)*(1-$I11)^(AD$3-1)*(1+$Q$107)^(AD$3-1),AC11*(1+$Q$107))</f>
        <v>0</v>
      </c>
      <c r="AE11" s="23">
        <f>IF(AE$3&lt;5,AD11*(1+$Q$107)+($G11*$H11*2340)*VLOOKUP('Green+Social Interface'!$I$38,'Look-ups'!$A$15:$B$43,2,0)*(1-$I11)^(AE$3-1)*(1+$Q$107)^(AE$3-1),AD11*(1+$Q$107))</f>
        <v>0</v>
      </c>
      <c r="AF11" s="23">
        <f>IF(AF$3&lt;5,AE11*(1+$Q$107)+($G11*$H11*2340)*VLOOKUP('Green+Social Interface'!$I$38,'Look-ups'!$A$15:$B$43,2,0)*(1-$I11)^(AF$3-1)*(1+$Q$107)^(AF$3-1),AE11*(1+$Q$107))</f>
        <v>0</v>
      </c>
      <c r="AG11" s="23">
        <f>IF(AG$3&lt;5,AF11*(1+$Q$107)+($G11*$H11*2340)*VLOOKUP('Green+Social Interface'!$I$38,'Look-ups'!$A$15:$B$43,2,0)*(1-$I11)^(AG$3-1)*(1+$Q$107)^(AG$3-1),AF11*(1+$Q$107))</f>
        <v>0</v>
      </c>
      <c r="AH11" s="23">
        <f>IF(AH$3&lt;5,AG11*(1+$Q$107)+($G11*$H11*2340)*VLOOKUP('Green+Social Interface'!$I$38,'Look-ups'!$A$15:$B$43,2,0)*(1-$I11)^(AH$3-1)*(1+$Q$107)^(AH$3-1),AG11*(1+$Q$107))</f>
        <v>0</v>
      </c>
      <c r="AI11" s="23">
        <f>IF(AI$3&lt;5,AH11*(1+$Q$107)+($G11*$H11*2340)*VLOOKUP('Green+Social Interface'!$I$38,'Look-ups'!$A$15:$B$43,2,0)*(1-$I11)^(AI$3-1)*(1+$Q$107)^(AI$3-1),AH11*(1+$Q$107))</f>
        <v>0</v>
      </c>
      <c r="AJ11" s="23">
        <f>IF(AJ$3&lt;5,AI11*(1+$Q$107)+($G11*$H11*2340)*VLOOKUP('Green+Social Interface'!$I$38,'Look-ups'!$A$15:$B$43,2,0)*(1-$I11)^(AJ$3-1)*(1+$Q$107)^(AJ$3-1),AI11*(1+$Q$107))</f>
        <v>0</v>
      </c>
      <c r="AK11" s="23">
        <f>IF(AK$3&lt;5,AJ11*(1+$Q$107)+($G11*$H11*2340)*VLOOKUP('Green+Social Interface'!$I$38,'Look-ups'!$A$15:$B$43,2,0)*(1-$I11)^(AK$3-1)*(1+$Q$107)^(AK$3-1),AJ11*(1+$Q$107))</f>
        <v>0</v>
      </c>
      <c r="AL11" s="23">
        <f>IF(AL$3&lt;5,AK11*(1+$Q$107)+($G11*$H11*2340)*VLOOKUP('Green+Social Interface'!$I$38,'Look-ups'!$A$15:$B$43,2,0)*(1-$I11)^(AL$3-1)*(1+$Q$107)^(AL$3-1),AK11*(1+$Q$107))</f>
        <v>0</v>
      </c>
      <c r="AM11" s="23">
        <f>IF(AM$3&lt;5,AL11*(1+$Q$107)+($G11*$H11*2340)*VLOOKUP('Green+Social Interface'!$I$38,'Look-ups'!$A$15:$B$43,2,0)*(1-$I11)^(AM$3-1)*(1+$Q$107)^(AM$3-1),AL11*(1+$Q$107))</f>
        <v>0</v>
      </c>
      <c r="AN11" s="23">
        <f>IF(AN$3&lt;5,AM11*(1+$Q$107)+($G11*$H11*2340)*VLOOKUP('Green+Social Interface'!$I$38,'Look-ups'!$A$15:$B$43,2,0)*(1-$I11)^(AN$3-1)*(1+$Q$107)^(AN$3-1),AM11*(1+$Q$107))</f>
        <v>0</v>
      </c>
      <c r="AO11" s="23">
        <f>IF(AO$3&lt;5,AN11*(1+$Q$107)+($G11*$H11*2340)*VLOOKUP('Green+Social Interface'!$I$38,'Look-ups'!$A$15:$B$43,2,0)*(1-$I11)^(AO$3-1)*(1+$Q$107)^(AO$3-1),AN11*(1+$Q$107))</f>
        <v>0</v>
      </c>
      <c r="AP11" s="23">
        <f>IF(AP$3&lt;5,AO11*(1+$Q$107)+($G11*$H11*2340)*VLOOKUP('Green+Social Interface'!$I$38,'Look-ups'!$A$15:$B$43,2,0)*(1-$I11)^(AP$3-1)*(1+$Q$107)^(AP$3-1),AO11*(1+$Q$107))</f>
        <v>0</v>
      </c>
      <c r="AQ11" s="23">
        <f>IF(AQ$3&lt;5,AP11*(1+$Q$107)+($G11*$H11*2340)*VLOOKUP('Green+Social Interface'!$I$38,'Look-ups'!$A$15:$B$43,2,0)*(1-$I11)^(AQ$3-1)*(1+$Q$107)^(AQ$3-1),AP11*(1+$Q$107))</f>
        <v>0</v>
      </c>
      <c r="AR11" s="23">
        <f>IF(AR$3&lt;5,AQ11*(1+$Q$107)+($G11*$H11*2340)*VLOOKUP('Green+Social Interface'!$I$38,'Look-ups'!$A$15:$B$43,2,0)*(1-$I11)^(AR$3-1)*(1+$Q$107)^(AR$3-1),AQ11*(1+$Q$107))</f>
        <v>0</v>
      </c>
      <c r="AS11" s="23">
        <f>IF(AS$3&lt;5,AR11*(1+$Q$107)+($G11*$H11*2340)*VLOOKUP('Green+Social Interface'!$I$38,'Look-ups'!$A$15:$B$43,2,0)*(1-$I11)^(AS$3-1)*(1+$Q$107)^(AS$3-1),AR11*(1+$Q$107))</f>
        <v>0</v>
      </c>
      <c r="AT11" s="23">
        <f>IF(AT$3&lt;5,AS11*(1+$Q$107)+($G11*$H11*2340)*VLOOKUP('Green+Social Interface'!$I$38,'Look-ups'!$A$15:$B$43,2,0)*(1-$I11)^(AT$3-1)*(1+$Q$107)^(AT$3-1),AS11*(1+$Q$107))</f>
        <v>0</v>
      </c>
      <c r="AU11" s="23">
        <f>IF(AU$3&lt;5,AT11*(1+$Q$107)+($G11*$H11*2340)*VLOOKUP('Green+Social Interface'!$I$38,'Look-ups'!$A$15:$B$43,2,0)*(1-$I11)^(AU$3-1)*(1+$Q$107)^(AU$3-1),AT11*(1+$Q$107))</f>
        <v>0</v>
      </c>
      <c r="AV11" s="23">
        <f>IF(AV$3&lt;5,AU11*(1+$Q$107)+($G11*$H11*2340)*VLOOKUP('Green+Social Interface'!$I$38,'Look-ups'!$A$15:$B$43,2,0)*(1-$I11)^(AV$3-1)*(1+$Q$107)^(AV$3-1),AU11*(1+$Q$107))</f>
        <v>0</v>
      </c>
      <c r="AW11" s="23">
        <f>IF(AW$3&lt;5,AV11*(1+$Q$107)+($G11*$H11*2340)*VLOOKUP('Green+Social Interface'!$I$38,'Look-ups'!$A$15:$B$43,2,0)*(1-$I11)^(AW$3-1)*(1+$Q$107)^(AW$3-1),AV11*(1+$Q$107))</f>
        <v>0</v>
      </c>
      <c r="AX11" s="23">
        <f>IF(AX$3&lt;5,AW11*(1+$Q$107)+($G11*$H11*2340)*VLOOKUP('Green+Social Interface'!$I$38,'Look-ups'!$A$15:$B$43,2,0)*(1-$I11)^(AX$3-1)*(1+$Q$107)^(AX$3-1),AW11*(1+$Q$107))</f>
        <v>0</v>
      </c>
      <c r="AY11" s="23">
        <f>IF(AY$3&lt;5,AX11*(1+$Q$107)+($G11*$H11*2340)*VLOOKUP('Green+Social Interface'!$I$38,'Look-ups'!$A$15:$B$43,2,0)*(1-$I11)^(AY$3-1)*(1+$Q$107)^(AY$3-1),AX11*(1+$Q$107))</f>
        <v>0</v>
      </c>
      <c r="AZ11" s="23">
        <f>IF(AZ$3&lt;5,AY11*(1+$Q$107)+($G11*$H11*2340)*VLOOKUP('Green+Social Interface'!$I$38,'Look-ups'!$A$15:$B$43,2,0)*(1-$I11)^(AZ$3-1)*(1+$Q$107)^(AZ$3-1),AY11*(1+$Q$107))</f>
        <v>0</v>
      </c>
      <c r="BA11" s="23">
        <f>IF(BA$3&lt;5,AZ11*(1+$Q$107)+($G11*$H11*2340)*VLOOKUP('Green+Social Interface'!$I$38,'Look-ups'!$A$15:$B$43,2,0)*(1-$I11)^(BA$3-1)*(1+$Q$107)^(BA$3-1),AZ11*(1+$Q$107))</f>
        <v>0</v>
      </c>
    </row>
    <row r="12" spans="1:53" x14ac:dyDescent="0.25">
      <c r="B12" s="24" t="s">
        <v>68</v>
      </c>
      <c r="C12" s="29" t="s">
        <v>69</v>
      </c>
      <c r="D12" s="25"/>
      <c r="E12" s="26"/>
      <c r="F12" s="26"/>
      <c r="G12" s="27"/>
      <c r="H12" s="25"/>
      <c r="I12" s="21">
        <f>'Green+Social Interface'!$O$6</f>
        <v>7.0000000000000007E-2</v>
      </c>
      <c r="K12" s="28"/>
      <c r="L12" s="28"/>
      <c r="M12" s="30"/>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row>
    <row r="13" spans="1:53" x14ac:dyDescent="0.25">
      <c r="A13" s="118" t="s">
        <v>219</v>
      </c>
      <c r="B13" s="24" t="s">
        <v>5</v>
      </c>
      <c r="C13" s="29" t="s">
        <v>10</v>
      </c>
      <c r="D13" s="25" t="s">
        <v>70</v>
      </c>
      <c r="E13" s="26">
        <f>IF('Green+Social Interface'!I18&gt;0,(0.535*(Q87-(Q87*$Q$103))*52)-(0.375*(Q87-(Q87*$Q$103))*52),0)</f>
        <v>0</v>
      </c>
      <c r="F13" s="18">
        <f>E13*VLOOKUP('Green+Social Interface'!$I$38,'Look-ups'!$A$15:$B$43,2,0)</f>
        <v>0</v>
      </c>
      <c r="G13" s="27">
        <v>1</v>
      </c>
      <c r="H13" s="27">
        <f>IF(H143&gt;0,'Green+Social Interface'!$I$18*(1-($H$137/$H$143)),0)</f>
        <v>0</v>
      </c>
      <c r="I13" s="21">
        <f>1-('Green+Social Interface'!$O$11)</f>
        <v>0.97499999999999998</v>
      </c>
      <c r="J13" s="22"/>
      <c r="K13" s="32">
        <f t="shared" ref="K13:K42" si="3">IF(AND(L13&gt;0,$B$85&gt;0),L13/$B$85,0)</f>
        <v>0</v>
      </c>
      <c r="L13" s="32">
        <f t="shared" ref="L13:L48" si="4">AVERAGE(N13:BA13)</f>
        <v>0</v>
      </c>
      <c r="M13" s="152">
        <f t="shared" ref="M13:M48" si="5">SUM(N13:BA13)</f>
        <v>0</v>
      </c>
      <c r="N13" s="33">
        <f>H13*G13*F13*I13</f>
        <v>0</v>
      </c>
      <c r="O13" s="33">
        <f>N13*(1+'Green+Social Interface'!$I$35)</f>
        <v>0</v>
      </c>
      <c r="P13" s="33">
        <f>O13*(1+'Green+Social Interface'!$I$35)</f>
        <v>0</v>
      </c>
      <c r="Q13" s="33">
        <f>P13*(1+'Green+Social Interface'!$I$35)</f>
        <v>0</v>
      </c>
      <c r="R13" s="33">
        <f>Q13*(1+'Green+Social Interface'!$I$35)</f>
        <v>0</v>
      </c>
      <c r="S13" s="33">
        <f>R13*(1+'Green+Social Interface'!$I$35)</f>
        <v>0</v>
      </c>
      <c r="T13" s="33">
        <f>S13*(1+'Green+Social Interface'!$I$35)</f>
        <v>0</v>
      </c>
      <c r="U13" s="33">
        <f>T13*(1+'Green+Social Interface'!$I$35)</f>
        <v>0</v>
      </c>
      <c r="V13" s="33">
        <f>U13*(1+'Green+Social Interface'!$I$35)</f>
        <v>0</v>
      </c>
      <c r="W13" s="33">
        <f>V13*(1+'Green+Social Interface'!$I$35)</f>
        <v>0</v>
      </c>
      <c r="X13" s="33">
        <f>W13*(1+'Green+Social Interface'!$I$35)</f>
        <v>0</v>
      </c>
      <c r="Y13" s="33">
        <f>X13*(1+'Green+Social Interface'!$I$35)</f>
        <v>0</v>
      </c>
      <c r="Z13" s="33">
        <f>Y13*(1+'Green+Social Interface'!$I$35)</f>
        <v>0</v>
      </c>
      <c r="AA13" s="33">
        <f>Z13*(1+'Green+Social Interface'!$I$35)</f>
        <v>0</v>
      </c>
      <c r="AB13" s="33">
        <f>AA13*(1+'Green+Social Interface'!$I$35)</f>
        <v>0</v>
      </c>
      <c r="AC13" s="33">
        <f>AB13*(1+'Green+Social Interface'!$I$35)</f>
        <v>0</v>
      </c>
      <c r="AD13" s="33">
        <f>AC13*(1+'Green+Social Interface'!$I$35)</f>
        <v>0</v>
      </c>
      <c r="AE13" s="33">
        <f>AD13*(1+'Green+Social Interface'!$I$35)</f>
        <v>0</v>
      </c>
      <c r="AF13" s="33">
        <f>AE13*(1+'Green+Social Interface'!$I$35)</f>
        <v>0</v>
      </c>
      <c r="AG13" s="33">
        <f>AF13*(1+'Green+Social Interface'!$I$35)</f>
        <v>0</v>
      </c>
      <c r="AH13" s="33">
        <f>AG13*(1+'Green+Social Interface'!$I$35)</f>
        <v>0</v>
      </c>
      <c r="AI13" s="33">
        <f>AH13*(1+'Green+Social Interface'!$I$35)</f>
        <v>0</v>
      </c>
      <c r="AJ13" s="33">
        <f>AI13*(1+'Green+Social Interface'!$I$35)</f>
        <v>0</v>
      </c>
      <c r="AK13" s="33">
        <f>AJ13*(1+'Green+Social Interface'!$I$35)</f>
        <v>0</v>
      </c>
      <c r="AL13" s="33">
        <f>AK13*(1+'Green+Social Interface'!$I$35)</f>
        <v>0</v>
      </c>
      <c r="AM13" s="33">
        <f>AL13*(1+'Green+Social Interface'!$I$35)</f>
        <v>0</v>
      </c>
      <c r="AN13" s="33">
        <f>AM13*(1+'Green+Social Interface'!$I$35)</f>
        <v>0</v>
      </c>
      <c r="AO13" s="33">
        <f>AN13*(1+'Green+Social Interface'!$I$35)</f>
        <v>0</v>
      </c>
      <c r="AP13" s="33">
        <f>AO13*(1+'Green+Social Interface'!$I$35)</f>
        <v>0</v>
      </c>
      <c r="AQ13" s="33">
        <f>AP13*(1+'Green+Social Interface'!$I$35)</f>
        <v>0</v>
      </c>
      <c r="AR13" s="33">
        <f>AQ13*(1+'Green+Social Interface'!$I$35)</f>
        <v>0</v>
      </c>
      <c r="AS13" s="33">
        <f>AR13*(1+'Green+Social Interface'!$I$35)</f>
        <v>0</v>
      </c>
      <c r="AT13" s="33">
        <f>AS13*(1+'Green+Social Interface'!$I$35)</f>
        <v>0</v>
      </c>
      <c r="AU13" s="33">
        <f>AT13*(1+'Green+Social Interface'!$I$35)</f>
        <v>0</v>
      </c>
      <c r="AV13" s="33">
        <f>AU13*(1+'Green+Social Interface'!$I$35)</f>
        <v>0</v>
      </c>
      <c r="AW13" s="33">
        <f>AV13*(1+'Green+Social Interface'!$I$35)</f>
        <v>0</v>
      </c>
      <c r="AX13" s="33">
        <f>AW13*(1+'Green+Social Interface'!$I$35)</f>
        <v>0</v>
      </c>
      <c r="AY13" s="33">
        <f>AX13*(1+'Green+Social Interface'!$I$35)</f>
        <v>0</v>
      </c>
      <c r="AZ13" s="33">
        <f>AY13*(1+'Green+Social Interface'!$I$35)</f>
        <v>0</v>
      </c>
      <c r="BA13" s="33">
        <f>AZ13*(1+'Green+Social Interface'!$I$35)</f>
        <v>0</v>
      </c>
    </row>
    <row r="14" spans="1:53" x14ac:dyDescent="0.25">
      <c r="A14" s="118"/>
      <c r="B14" s="24"/>
      <c r="C14" s="25" t="s">
        <v>6</v>
      </c>
      <c r="D14" s="25" t="s">
        <v>70</v>
      </c>
      <c r="E14" s="26">
        <f>IF('Green+Social Interface'!I19&gt;0,(0.535*(Q88-(Q88*$Q$103))*52)-(0.375*(Q88-(Q88*$Q$103))*52),0)</f>
        <v>0</v>
      </c>
      <c r="F14" s="18">
        <f>E14*VLOOKUP('Green+Social Interface'!$I$38,'Look-ups'!$A$15:$B$43,2,0)</f>
        <v>0</v>
      </c>
      <c r="G14" s="27">
        <v>1</v>
      </c>
      <c r="H14" s="27">
        <f>IF(H143&gt;0,'Green+Social Interface'!$I$19*(1-($H$137/$H$143)),0)</f>
        <v>0</v>
      </c>
      <c r="I14" s="21">
        <f>1-('Green+Social Interface'!$O$11)</f>
        <v>0.97499999999999998</v>
      </c>
      <c r="J14" s="22"/>
      <c r="K14" s="32">
        <f t="shared" si="3"/>
        <v>0</v>
      </c>
      <c r="L14" s="32">
        <f t="shared" si="4"/>
        <v>0</v>
      </c>
      <c r="M14" s="152">
        <f t="shared" si="5"/>
        <v>0</v>
      </c>
      <c r="N14" s="33">
        <f>H14*G14*F14*I14</f>
        <v>0</v>
      </c>
      <c r="O14" s="33">
        <f>N14*(1+'Green+Social Interface'!$I$35)</f>
        <v>0</v>
      </c>
      <c r="P14" s="33">
        <f>O14*(1+'Green+Social Interface'!$I$35)</f>
        <v>0</v>
      </c>
      <c r="Q14" s="33">
        <f>P14*(1+'Green+Social Interface'!$I$35)</f>
        <v>0</v>
      </c>
      <c r="R14" s="33">
        <f>Q14*(1+'Green+Social Interface'!$I$35)</f>
        <v>0</v>
      </c>
      <c r="S14" s="33">
        <f>R14*(1+'Green+Social Interface'!$I$35)</f>
        <v>0</v>
      </c>
      <c r="T14" s="33">
        <f>S14*(1+'Green+Social Interface'!$I$35)</f>
        <v>0</v>
      </c>
      <c r="U14" s="33">
        <f>T14*(1+'Green+Social Interface'!$I$35)</f>
        <v>0</v>
      </c>
      <c r="V14" s="33">
        <f>U14*(1+'Green+Social Interface'!$I$35)</f>
        <v>0</v>
      </c>
      <c r="W14" s="33">
        <f>V14*(1+'Green+Social Interface'!$I$35)</f>
        <v>0</v>
      </c>
      <c r="X14" s="33">
        <f>W14*(1+'Green+Social Interface'!$I$35)</f>
        <v>0</v>
      </c>
      <c r="Y14" s="33">
        <f>X14*(1+'Green+Social Interface'!$I$35)</f>
        <v>0</v>
      </c>
      <c r="Z14" s="33">
        <f>Y14*(1+'Green+Social Interface'!$I$35)</f>
        <v>0</v>
      </c>
      <c r="AA14" s="33">
        <f>Z14*(1+'Green+Social Interface'!$I$35)</f>
        <v>0</v>
      </c>
      <c r="AB14" s="33">
        <f>AA14*(1+'Green+Social Interface'!$I$35)</f>
        <v>0</v>
      </c>
      <c r="AC14" s="33">
        <f>AB14*(1+'Green+Social Interface'!$I$35)</f>
        <v>0</v>
      </c>
      <c r="AD14" s="33">
        <f>AC14*(1+'Green+Social Interface'!$I$35)</f>
        <v>0</v>
      </c>
      <c r="AE14" s="33">
        <f>AD14*(1+'Green+Social Interface'!$I$35)</f>
        <v>0</v>
      </c>
      <c r="AF14" s="33">
        <f>AE14*(1+'Green+Social Interface'!$I$35)</f>
        <v>0</v>
      </c>
      <c r="AG14" s="33">
        <f>AF14*(1+'Green+Social Interface'!$I$35)</f>
        <v>0</v>
      </c>
      <c r="AH14" s="33">
        <f>AG14*(1+'Green+Social Interface'!$I$35)</f>
        <v>0</v>
      </c>
      <c r="AI14" s="33">
        <f>AH14*(1+'Green+Social Interface'!$I$35)</f>
        <v>0</v>
      </c>
      <c r="AJ14" s="33">
        <f>AI14*(1+'Green+Social Interface'!$I$35)</f>
        <v>0</v>
      </c>
      <c r="AK14" s="33">
        <f>AJ14*(1+'Green+Social Interface'!$I$35)</f>
        <v>0</v>
      </c>
      <c r="AL14" s="33">
        <f>AK14*(1+'Green+Social Interface'!$I$35)</f>
        <v>0</v>
      </c>
      <c r="AM14" s="33">
        <f>AL14*(1+'Green+Social Interface'!$I$35)</f>
        <v>0</v>
      </c>
      <c r="AN14" s="33">
        <f>AM14*(1+'Green+Social Interface'!$I$35)</f>
        <v>0</v>
      </c>
      <c r="AO14" s="33">
        <f>AN14*(1+'Green+Social Interface'!$I$35)</f>
        <v>0</v>
      </c>
      <c r="AP14" s="33">
        <f>AO14*(1+'Green+Social Interface'!$I$35)</f>
        <v>0</v>
      </c>
      <c r="AQ14" s="33">
        <f>AP14*(1+'Green+Social Interface'!$I$35)</f>
        <v>0</v>
      </c>
      <c r="AR14" s="33">
        <f>AQ14*(1+'Green+Social Interface'!$I$35)</f>
        <v>0</v>
      </c>
      <c r="AS14" s="33">
        <f>AR14*(1+'Green+Social Interface'!$I$35)</f>
        <v>0</v>
      </c>
      <c r="AT14" s="33">
        <f>AS14*(1+'Green+Social Interface'!$I$35)</f>
        <v>0</v>
      </c>
      <c r="AU14" s="33">
        <f>AT14*(1+'Green+Social Interface'!$I$35)</f>
        <v>0</v>
      </c>
      <c r="AV14" s="33">
        <f>AU14*(1+'Green+Social Interface'!$I$35)</f>
        <v>0</v>
      </c>
      <c r="AW14" s="33">
        <f>AV14*(1+'Green+Social Interface'!$I$35)</f>
        <v>0</v>
      </c>
      <c r="AX14" s="33">
        <f>AW14*(1+'Green+Social Interface'!$I$35)</f>
        <v>0</v>
      </c>
      <c r="AY14" s="33">
        <f>AX14*(1+'Green+Social Interface'!$I$35)</f>
        <v>0</v>
      </c>
      <c r="AZ14" s="33">
        <f>AY14*(1+'Green+Social Interface'!$I$35)</f>
        <v>0</v>
      </c>
      <c r="BA14" s="33">
        <f>AZ14*(1+'Green+Social Interface'!$I$35)</f>
        <v>0</v>
      </c>
    </row>
    <row r="15" spans="1:53" x14ac:dyDescent="0.25">
      <c r="A15" s="118"/>
      <c r="B15" s="24"/>
      <c r="C15" s="25" t="s">
        <v>7</v>
      </c>
      <c r="D15" s="25" t="s">
        <v>70</v>
      </c>
      <c r="E15" s="26">
        <f>IF('Green+Social Interface'!I20&gt;0,(0.535*(Q89-(Q89*$Q$103))*52)-(0.375*(Q89-(Q89*$Q$103))*52),0)</f>
        <v>0</v>
      </c>
      <c r="F15" s="18">
        <f>E15*VLOOKUP('Green+Social Interface'!$I$38,'Look-ups'!$A$15:$B$43,2,0)</f>
        <v>0</v>
      </c>
      <c r="G15" s="27">
        <v>1</v>
      </c>
      <c r="H15" s="27">
        <f>IF(H143&gt;0,'Green+Social Interface'!$I$20*(1-($H$137/$H$143)),0)</f>
        <v>0</v>
      </c>
      <c r="I15" s="21">
        <f>1-('Green+Social Interface'!$O$11)</f>
        <v>0.97499999999999998</v>
      </c>
      <c r="J15" s="22"/>
      <c r="K15" s="32">
        <f t="shared" si="3"/>
        <v>0</v>
      </c>
      <c r="L15" s="32">
        <f t="shared" si="4"/>
        <v>0</v>
      </c>
      <c r="M15" s="152">
        <f t="shared" si="5"/>
        <v>0</v>
      </c>
      <c r="N15" s="33">
        <f t="shared" ref="N15:N32" si="6">H15*G15*F15*I15</f>
        <v>0</v>
      </c>
      <c r="O15" s="33">
        <f>N15*(1+'Green+Social Interface'!$I$35)</f>
        <v>0</v>
      </c>
      <c r="P15" s="33">
        <f>O15*(1+'Green+Social Interface'!$I$35)</f>
        <v>0</v>
      </c>
      <c r="Q15" s="33">
        <f>P15*(1+'Green+Social Interface'!$I$35)</f>
        <v>0</v>
      </c>
      <c r="R15" s="33">
        <f>Q15*(1+'Green+Social Interface'!$I$35)</f>
        <v>0</v>
      </c>
      <c r="S15" s="33">
        <f>R15*(1+'Green+Social Interface'!$I$35)</f>
        <v>0</v>
      </c>
      <c r="T15" s="33">
        <f>S15*(1+'Green+Social Interface'!$I$35)</f>
        <v>0</v>
      </c>
      <c r="U15" s="33">
        <f>T15*(1+'Green+Social Interface'!$I$35)</f>
        <v>0</v>
      </c>
      <c r="V15" s="33">
        <f>U15*(1+'Green+Social Interface'!$I$35)</f>
        <v>0</v>
      </c>
      <c r="W15" s="33">
        <f>V15*(1+'Green+Social Interface'!$I$35)</f>
        <v>0</v>
      </c>
      <c r="X15" s="33">
        <f>W15*(1+'Green+Social Interface'!$I$35)</f>
        <v>0</v>
      </c>
      <c r="Y15" s="33">
        <f>X15*(1+'Green+Social Interface'!$I$35)</f>
        <v>0</v>
      </c>
      <c r="Z15" s="33">
        <f>Y15*(1+'Green+Social Interface'!$I$35)</f>
        <v>0</v>
      </c>
      <c r="AA15" s="33">
        <f>Z15*(1+'Green+Social Interface'!$I$35)</f>
        <v>0</v>
      </c>
      <c r="AB15" s="33">
        <f>AA15*(1+'Green+Social Interface'!$I$35)</f>
        <v>0</v>
      </c>
      <c r="AC15" s="33">
        <f>AB15*(1+'Green+Social Interface'!$I$35)</f>
        <v>0</v>
      </c>
      <c r="AD15" s="33">
        <f>AC15*(1+'Green+Social Interface'!$I$35)</f>
        <v>0</v>
      </c>
      <c r="AE15" s="33">
        <f>AD15*(1+'Green+Social Interface'!$I$35)</f>
        <v>0</v>
      </c>
      <c r="AF15" s="33">
        <f>AE15*(1+'Green+Social Interface'!$I$35)</f>
        <v>0</v>
      </c>
      <c r="AG15" s="33">
        <f>AF15*(1+'Green+Social Interface'!$I$35)</f>
        <v>0</v>
      </c>
      <c r="AH15" s="33">
        <f>AG15*(1+'Green+Social Interface'!$I$35)</f>
        <v>0</v>
      </c>
      <c r="AI15" s="33">
        <f>AH15*(1+'Green+Social Interface'!$I$35)</f>
        <v>0</v>
      </c>
      <c r="AJ15" s="33">
        <f>AI15*(1+'Green+Social Interface'!$I$35)</f>
        <v>0</v>
      </c>
      <c r="AK15" s="33">
        <f>AJ15*(1+'Green+Social Interface'!$I$35)</f>
        <v>0</v>
      </c>
      <c r="AL15" s="33">
        <f>AK15*(1+'Green+Social Interface'!$I$35)</f>
        <v>0</v>
      </c>
      <c r="AM15" s="33">
        <f>AL15*(1+'Green+Social Interface'!$I$35)</f>
        <v>0</v>
      </c>
      <c r="AN15" s="33">
        <f>AM15*(1+'Green+Social Interface'!$I$35)</f>
        <v>0</v>
      </c>
      <c r="AO15" s="33">
        <f>AN15*(1+'Green+Social Interface'!$I$35)</f>
        <v>0</v>
      </c>
      <c r="AP15" s="33">
        <f>AO15*(1+'Green+Social Interface'!$I$35)</f>
        <v>0</v>
      </c>
      <c r="AQ15" s="33">
        <f>AP15*(1+'Green+Social Interface'!$I$35)</f>
        <v>0</v>
      </c>
      <c r="AR15" s="33">
        <f>AQ15*(1+'Green+Social Interface'!$I$35)</f>
        <v>0</v>
      </c>
      <c r="AS15" s="33">
        <f>AR15*(1+'Green+Social Interface'!$I$35)</f>
        <v>0</v>
      </c>
      <c r="AT15" s="33">
        <f>AS15*(1+'Green+Social Interface'!$I$35)</f>
        <v>0</v>
      </c>
      <c r="AU15" s="33">
        <f>AT15*(1+'Green+Social Interface'!$I$35)</f>
        <v>0</v>
      </c>
      <c r="AV15" s="33">
        <f>AU15*(1+'Green+Social Interface'!$I$35)</f>
        <v>0</v>
      </c>
      <c r="AW15" s="33">
        <f>AV15*(1+'Green+Social Interface'!$I$35)</f>
        <v>0</v>
      </c>
      <c r="AX15" s="33">
        <f>AW15*(1+'Green+Social Interface'!$I$35)</f>
        <v>0</v>
      </c>
      <c r="AY15" s="33">
        <f>AX15*(1+'Green+Social Interface'!$I$35)</f>
        <v>0</v>
      </c>
      <c r="AZ15" s="33">
        <f>AY15*(1+'Green+Social Interface'!$I$35)</f>
        <v>0</v>
      </c>
      <c r="BA15" s="33">
        <f>AZ15*(1+'Green+Social Interface'!$I$35)</f>
        <v>0</v>
      </c>
    </row>
    <row r="16" spans="1:53" x14ac:dyDescent="0.25">
      <c r="A16" s="118"/>
      <c r="B16" s="24"/>
      <c r="C16" s="25" t="s">
        <v>8</v>
      </c>
      <c r="D16" s="25" t="s">
        <v>70</v>
      </c>
      <c r="E16" s="26">
        <f>IF('Green+Social Interface'!I21&gt;0,(0.535*(Q90-(Q90*$Q$103))*52)-(0.375*(Q90-(Q90*$Q$103))*52),0)</f>
        <v>0</v>
      </c>
      <c r="F16" s="18">
        <f>E16*VLOOKUP('Green+Social Interface'!$I$38,'Look-ups'!$A$15:$B$43,2,0)</f>
        <v>0</v>
      </c>
      <c r="G16" s="27">
        <v>1</v>
      </c>
      <c r="H16" s="27">
        <f>IF(H143&gt;0,'Green+Social Interface'!$I$21*(1-($H$137/$H$143)),0)</f>
        <v>0</v>
      </c>
      <c r="I16" s="21">
        <f>1-('Green+Social Interface'!$O$11)</f>
        <v>0.97499999999999998</v>
      </c>
      <c r="J16" s="22"/>
      <c r="K16" s="32">
        <f t="shared" si="3"/>
        <v>0</v>
      </c>
      <c r="L16" s="32">
        <f t="shared" si="4"/>
        <v>0</v>
      </c>
      <c r="M16" s="152">
        <f t="shared" si="5"/>
        <v>0</v>
      </c>
      <c r="N16" s="33">
        <f t="shared" si="6"/>
        <v>0</v>
      </c>
      <c r="O16" s="33">
        <f>N16*(1+'Green+Social Interface'!$I$35)</f>
        <v>0</v>
      </c>
      <c r="P16" s="33">
        <f>O16*(1+'Green+Social Interface'!$I$35)</f>
        <v>0</v>
      </c>
      <c r="Q16" s="33">
        <f>P16*(1+'Green+Social Interface'!$I$35)</f>
        <v>0</v>
      </c>
      <c r="R16" s="33">
        <f>Q16*(1+'Green+Social Interface'!$I$35)</f>
        <v>0</v>
      </c>
      <c r="S16" s="33">
        <f>R16*(1+'Green+Social Interface'!$I$35)</f>
        <v>0</v>
      </c>
      <c r="T16" s="33">
        <f>S16*(1+'Green+Social Interface'!$I$35)</f>
        <v>0</v>
      </c>
      <c r="U16" s="33">
        <f>T16*(1+'Green+Social Interface'!$I$35)</f>
        <v>0</v>
      </c>
      <c r="V16" s="33">
        <f>U16*(1+'Green+Social Interface'!$I$35)</f>
        <v>0</v>
      </c>
      <c r="W16" s="33">
        <f>V16*(1+'Green+Social Interface'!$I$35)</f>
        <v>0</v>
      </c>
      <c r="X16" s="33">
        <f>W16*(1+'Green+Social Interface'!$I$35)</f>
        <v>0</v>
      </c>
      <c r="Y16" s="33">
        <f>X16*(1+'Green+Social Interface'!$I$35)</f>
        <v>0</v>
      </c>
      <c r="Z16" s="33">
        <f>Y16*(1+'Green+Social Interface'!$I$35)</f>
        <v>0</v>
      </c>
      <c r="AA16" s="33">
        <f>Z16*(1+'Green+Social Interface'!$I$35)</f>
        <v>0</v>
      </c>
      <c r="AB16" s="33">
        <f>AA16*(1+'Green+Social Interface'!$I$35)</f>
        <v>0</v>
      </c>
      <c r="AC16" s="33">
        <f>AB16*(1+'Green+Social Interface'!$I$35)</f>
        <v>0</v>
      </c>
      <c r="AD16" s="33">
        <f>AC16*(1+'Green+Social Interface'!$I$35)</f>
        <v>0</v>
      </c>
      <c r="AE16" s="33">
        <f>AD16*(1+'Green+Social Interface'!$I$35)</f>
        <v>0</v>
      </c>
      <c r="AF16" s="33">
        <f>AE16*(1+'Green+Social Interface'!$I$35)</f>
        <v>0</v>
      </c>
      <c r="AG16" s="33">
        <f>AF16*(1+'Green+Social Interface'!$I$35)</f>
        <v>0</v>
      </c>
      <c r="AH16" s="33">
        <f>AG16*(1+'Green+Social Interface'!$I$35)</f>
        <v>0</v>
      </c>
      <c r="AI16" s="33">
        <f>AH16*(1+'Green+Social Interface'!$I$35)</f>
        <v>0</v>
      </c>
      <c r="AJ16" s="33">
        <f>AI16*(1+'Green+Social Interface'!$I$35)</f>
        <v>0</v>
      </c>
      <c r="AK16" s="33">
        <f>AJ16*(1+'Green+Social Interface'!$I$35)</f>
        <v>0</v>
      </c>
      <c r="AL16" s="33">
        <f>AK16*(1+'Green+Social Interface'!$I$35)</f>
        <v>0</v>
      </c>
      <c r="AM16" s="33">
        <f>AL16*(1+'Green+Social Interface'!$I$35)</f>
        <v>0</v>
      </c>
      <c r="AN16" s="33">
        <f>AM16*(1+'Green+Social Interface'!$I$35)</f>
        <v>0</v>
      </c>
      <c r="AO16" s="33">
        <f>AN16*(1+'Green+Social Interface'!$I$35)</f>
        <v>0</v>
      </c>
      <c r="AP16" s="33">
        <f>AO16*(1+'Green+Social Interface'!$I$35)</f>
        <v>0</v>
      </c>
      <c r="AQ16" s="33">
        <f>AP16*(1+'Green+Social Interface'!$I$35)</f>
        <v>0</v>
      </c>
      <c r="AR16" s="33">
        <f>AQ16*(1+'Green+Social Interface'!$I$35)</f>
        <v>0</v>
      </c>
      <c r="AS16" s="33">
        <f>AR16*(1+'Green+Social Interface'!$I$35)</f>
        <v>0</v>
      </c>
      <c r="AT16" s="33">
        <f>AS16*(1+'Green+Social Interface'!$I$35)</f>
        <v>0</v>
      </c>
      <c r="AU16" s="33">
        <f>AT16*(1+'Green+Social Interface'!$I$35)</f>
        <v>0</v>
      </c>
      <c r="AV16" s="33">
        <f>AU16*(1+'Green+Social Interface'!$I$35)</f>
        <v>0</v>
      </c>
      <c r="AW16" s="33">
        <f>AV16*(1+'Green+Social Interface'!$I$35)</f>
        <v>0</v>
      </c>
      <c r="AX16" s="33">
        <f>AW16*(1+'Green+Social Interface'!$I$35)</f>
        <v>0</v>
      </c>
      <c r="AY16" s="33">
        <f>AX16*(1+'Green+Social Interface'!$I$35)</f>
        <v>0</v>
      </c>
      <c r="AZ16" s="33">
        <f>AY16*(1+'Green+Social Interface'!$I$35)</f>
        <v>0</v>
      </c>
      <c r="BA16" s="33">
        <f>AZ16*(1+'Green+Social Interface'!$I$35)</f>
        <v>0</v>
      </c>
    </row>
    <row r="17" spans="1:54" x14ac:dyDescent="0.25">
      <c r="A17" s="118"/>
      <c r="B17" s="24"/>
      <c r="C17" s="25" t="s">
        <v>9</v>
      </c>
      <c r="D17" s="25" t="s">
        <v>70</v>
      </c>
      <c r="E17" s="26">
        <f>IF('Green+Social Interface'!I22&gt;0,(0.535*(Q91-(Q91*$Q$103))*52)-(0.375*(Q91-(Q91*$Q$103))*52),0)</f>
        <v>0</v>
      </c>
      <c r="F17" s="18">
        <f>E17*VLOOKUP('Green+Social Interface'!$I$38,'Look-ups'!$A$15:$B$43,2,0)</f>
        <v>0</v>
      </c>
      <c r="G17" s="27">
        <v>1</v>
      </c>
      <c r="H17" s="27">
        <f>IF(H143&gt;0,'Green+Social Interface'!$I$22*(1-($H$137/$H$143)),0)</f>
        <v>0</v>
      </c>
      <c r="I17" s="21">
        <f>1-('Green+Social Interface'!$O$11)</f>
        <v>0.97499999999999998</v>
      </c>
      <c r="J17" s="22"/>
      <c r="K17" s="32">
        <f t="shared" si="3"/>
        <v>0</v>
      </c>
      <c r="L17" s="32">
        <f t="shared" si="4"/>
        <v>0</v>
      </c>
      <c r="M17" s="152">
        <f t="shared" si="5"/>
        <v>0</v>
      </c>
      <c r="N17" s="33">
        <f t="shared" si="6"/>
        <v>0</v>
      </c>
      <c r="O17" s="33">
        <f>N17*(1+'Green+Social Interface'!$I$35)</f>
        <v>0</v>
      </c>
      <c r="P17" s="33">
        <f>O17*(1+'Green+Social Interface'!$I$35)</f>
        <v>0</v>
      </c>
      <c r="Q17" s="33">
        <f>P17*(1+'Green+Social Interface'!$I$35)</f>
        <v>0</v>
      </c>
      <c r="R17" s="33">
        <f>Q17*(1+'Green+Social Interface'!$I$35)</f>
        <v>0</v>
      </c>
      <c r="S17" s="33">
        <f>R17*(1+'Green+Social Interface'!$I$35)</f>
        <v>0</v>
      </c>
      <c r="T17" s="33">
        <f>S17*(1+'Green+Social Interface'!$I$35)</f>
        <v>0</v>
      </c>
      <c r="U17" s="33">
        <f>T17*(1+'Green+Social Interface'!$I$35)</f>
        <v>0</v>
      </c>
      <c r="V17" s="33">
        <f>U17*(1+'Green+Social Interface'!$I$35)</f>
        <v>0</v>
      </c>
      <c r="W17" s="33">
        <f>V17*(1+'Green+Social Interface'!$I$35)</f>
        <v>0</v>
      </c>
      <c r="X17" s="33">
        <f>W17*(1+'Green+Social Interface'!$I$35)</f>
        <v>0</v>
      </c>
      <c r="Y17" s="33">
        <f>X17*(1+'Green+Social Interface'!$I$35)</f>
        <v>0</v>
      </c>
      <c r="Z17" s="33">
        <f>Y17*(1+'Green+Social Interface'!$I$35)</f>
        <v>0</v>
      </c>
      <c r="AA17" s="33">
        <f>Z17*(1+'Green+Social Interface'!$I$35)</f>
        <v>0</v>
      </c>
      <c r="AB17" s="33">
        <f>AA17*(1+'Green+Social Interface'!$I$35)</f>
        <v>0</v>
      </c>
      <c r="AC17" s="33">
        <f>AB17*(1+'Green+Social Interface'!$I$35)</f>
        <v>0</v>
      </c>
      <c r="AD17" s="33">
        <f>AC17*(1+'Green+Social Interface'!$I$35)</f>
        <v>0</v>
      </c>
      <c r="AE17" s="33">
        <f>AD17*(1+'Green+Social Interface'!$I$35)</f>
        <v>0</v>
      </c>
      <c r="AF17" s="33">
        <f>AE17*(1+'Green+Social Interface'!$I$35)</f>
        <v>0</v>
      </c>
      <c r="AG17" s="33">
        <f>AF17*(1+'Green+Social Interface'!$I$35)</f>
        <v>0</v>
      </c>
      <c r="AH17" s="33">
        <f>AG17*(1+'Green+Social Interface'!$I$35)</f>
        <v>0</v>
      </c>
      <c r="AI17" s="33">
        <f>AH17*(1+'Green+Social Interface'!$I$35)</f>
        <v>0</v>
      </c>
      <c r="AJ17" s="33">
        <f>AI17*(1+'Green+Social Interface'!$I$35)</f>
        <v>0</v>
      </c>
      <c r="AK17" s="33">
        <f>AJ17*(1+'Green+Social Interface'!$I$35)</f>
        <v>0</v>
      </c>
      <c r="AL17" s="33">
        <f>AK17*(1+'Green+Social Interface'!$I$35)</f>
        <v>0</v>
      </c>
      <c r="AM17" s="33">
        <f>AL17*(1+'Green+Social Interface'!$I$35)</f>
        <v>0</v>
      </c>
      <c r="AN17" s="33">
        <f>AM17*(1+'Green+Social Interface'!$I$35)</f>
        <v>0</v>
      </c>
      <c r="AO17" s="33">
        <f>AN17*(1+'Green+Social Interface'!$I$35)</f>
        <v>0</v>
      </c>
      <c r="AP17" s="33">
        <f>AO17*(1+'Green+Social Interface'!$I$35)</f>
        <v>0</v>
      </c>
      <c r="AQ17" s="33">
        <f>AP17*(1+'Green+Social Interface'!$I$35)</f>
        <v>0</v>
      </c>
      <c r="AR17" s="33">
        <f>AQ17*(1+'Green+Social Interface'!$I$35)</f>
        <v>0</v>
      </c>
      <c r="AS17" s="33">
        <f>AR17*(1+'Green+Social Interface'!$I$35)</f>
        <v>0</v>
      </c>
      <c r="AT17" s="33">
        <f>AS17*(1+'Green+Social Interface'!$I$35)</f>
        <v>0</v>
      </c>
      <c r="AU17" s="33">
        <f>AT17*(1+'Green+Social Interface'!$I$35)</f>
        <v>0</v>
      </c>
      <c r="AV17" s="33">
        <f>AU17*(1+'Green+Social Interface'!$I$35)</f>
        <v>0</v>
      </c>
      <c r="AW17" s="33">
        <f>AV17*(1+'Green+Social Interface'!$I$35)</f>
        <v>0</v>
      </c>
      <c r="AX17" s="33">
        <f>AW17*(1+'Green+Social Interface'!$I$35)</f>
        <v>0</v>
      </c>
      <c r="AY17" s="33">
        <f>AX17*(1+'Green+Social Interface'!$I$35)</f>
        <v>0</v>
      </c>
      <c r="AZ17" s="33">
        <f>AY17*(1+'Green+Social Interface'!$I$35)</f>
        <v>0</v>
      </c>
      <c r="BA17" s="33">
        <f>AZ17*(1+'Green+Social Interface'!$I$35)</f>
        <v>0</v>
      </c>
    </row>
    <row r="18" spans="1:54" x14ac:dyDescent="0.25">
      <c r="A18" s="118" t="s">
        <v>219</v>
      </c>
      <c r="B18" s="24" t="s">
        <v>135</v>
      </c>
      <c r="C18" s="25" t="s">
        <v>6</v>
      </c>
      <c r="D18" s="25" t="s">
        <v>70</v>
      </c>
      <c r="E18" s="26">
        <f>IF('Green+Social Interface'!D18&gt;0,(0.535*(Q93-(Q93*$Q$103))*52)-(0.375*(Q93-(Q93*$Q$103))*52),0)</f>
        <v>0</v>
      </c>
      <c r="F18" s="18">
        <f>E18*VLOOKUP('Green+Social Interface'!$I$38,'Look-ups'!$A$15:$B$43,2,0)</f>
        <v>0</v>
      </c>
      <c r="G18" s="27">
        <v>1</v>
      </c>
      <c r="H18" s="27">
        <f>IF(H143&gt;0,'Green+Social Interface'!$D$18*(1-($H$137/$H$143)),0)</f>
        <v>0</v>
      </c>
      <c r="I18" s="21">
        <f>1-('Green+Social Interface'!$O$11)</f>
        <v>0.97499999999999998</v>
      </c>
      <c r="J18" s="22"/>
      <c r="K18" s="32">
        <f t="shared" si="3"/>
        <v>0</v>
      </c>
      <c r="L18" s="32">
        <f t="shared" si="4"/>
        <v>0</v>
      </c>
      <c r="M18" s="152">
        <f t="shared" si="5"/>
        <v>0</v>
      </c>
      <c r="N18" s="33">
        <f t="shared" si="6"/>
        <v>0</v>
      </c>
      <c r="O18" s="33">
        <f>N18*(1+'Green+Social Interface'!$I$35)</f>
        <v>0</v>
      </c>
      <c r="P18" s="33">
        <f>O18*(1+'Green+Social Interface'!$I$35)</f>
        <v>0</v>
      </c>
      <c r="Q18" s="33">
        <f>P18*(1+'Green+Social Interface'!$I$35)</f>
        <v>0</v>
      </c>
      <c r="R18" s="33">
        <f>Q18*(1+'Green+Social Interface'!$I$35)</f>
        <v>0</v>
      </c>
      <c r="S18" s="33">
        <f>R18*(1+'Green+Social Interface'!$I$35)</f>
        <v>0</v>
      </c>
      <c r="T18" s="33">
        <f>S18*(1+'Green+Social Interface'!$I$35)</f>
        <v>0</v>
      </c>
      <c r="U18" s="33">
        <f>T18*(1+'Green+Social Interface'!$I$35)</f>
        <v>0</v>
      </c>
      <c r="V18" s="33">
        <f>U18*(1+'Green+Social Interface'!$I$35)</f>
        <v>0</v>
      </c>
      <c r="W18" s="33">
        <f>V18*(1+'Green+Social Interface'!$I$35)</f>
        <v>0</v>
      </c>
      <c r="X18" s="33">
        <f>W18*(1+'Green+Social Interface'!$I$35)</f>
        <v>0</v>
      </c>
      <c r="Y18" s="33">
        <f>X18*(1+'Green+Social Interface'!$I$35)</f>
        <v>0</v>
      </c>
      <c r="Z18" s="33">
        <f>Y18*(1+'Green+Social Interface'!$I$35)</f>
        <v>0</v>
      </c>
      <c r="AA18" s="33">
        <f>Z18*(1+'Green+Social Interface'!$I$35)</f>
        <v>0</v>
      </c>
      <c r="AB18" s="33">
        <f>AA18*(1+'Green+Social Interface'!$I$35)</f>
        <v>0</v>
      </c>
      <c r="AC18" s="33">
        <f>AB18*(1+'Green+Social Interface'!$I$35)</f>
        <v>0</v>
      </c>
      <c r="AD18" s="33">
        <f>AC18*(1+'Green+Social Interface'!$I$35)</f>
        <v>0</v>
      </c>
      <c r="AE18" s="33">
        <f>AD18*(1+'Green+Social Interface'!$I$35)</f>
        <v>0</v>
      </c>
      <c r="AF18" s="33">
        <f>AE18*(1+'Green+Social Interface'!$I$35)</f>
        <v>0</v>
      </c>
      <c r="AG18" s="33">
        <f>AF18*(1+'Green+Social Interface'!$I$35)</f>
        <v>0</v>
      </c>
      <c r="AH18" s="33">
        <f>AG18*(1+'Green+Social Interface'!$I$35)</f>
        <v>0</v>
      </c>
      <c r="AI18" s="33">
        <f>AH18*(1+'Green+Social Interface'!$I$35)</f>
        <v>0</v>
      </c>
      <c r="AJ18" s="33">
        <f>AI18*(1+'Green+Social Interface'!$I$35)</f>
        <v>0</v>
      </c>
      <c r="AK18" s="33">
        <f>AJ18*(1+'Green+Social Interface'!$I$35)</f>
        <v>0</v>
      </c>
      <c r="AL18" s="33">
        <f>AK18*(1+'Green+Social Interface'!$I$35)</f>
        <v>0</v>
      </c>
      <c r="AM18" s="33">
        <f>AL18*(1+'Green+Social Interface'!$I$35)</f>
        <v>0</v>
      </c>
      <c r="AN18" s="33">
        <f>AM18*(1+'Green+Social Interface'!$I$35)</f>
        <v>0</v>
      </c>
      <c r="AO18" s="33">
        <f>AN18*(1+'Green+Social Interface'!$I$35)</f>
        <v>0</v>
      </c>
      <c r="AP18" s="33">
        <f>AO18*(1+'Green+Social Interface'!$I$35)</f>
        <v>0</v>
      </c>
      <c r="AQ18" s="33">
        <f>AP18*(1+'Green+Social Interface'!$I$35)</f>
        <v>0</v>
      </c>
      <c r="AR18" s="33">
        <f>AQ18*(1+'Green+Social Interface'!$I$35)</f>
        <v>0</v>
      </c>
      <c r="AS18" s="33">
        <f>AR18*(1+'Green+Social Interface'!$I$35)</f>
        <v>0</v>
      </c>
      <c r="AT18" s="33">
        <f>AS18*(1+'Green+Social Interface'!$I$35)</f>
        <v>0</v>
      </c>
      <c r="AU18" s="33">
        <f>AT18*(1+'Green+Social Interface'!$I$35)</f>
        <v>0</v>
      </c>
      <c r="AV18" s="33">
        <f>AU18*(1+'Green+Social Interface'!$I$35)</f>
        <v>0</v>
      </c>
      <c r="AW18" s="33">
        <f>AV18*(1+'Green+Social Interface'!$I$35)</f>
        <v>0</v>
      </c>
      <c r="AX18" s="33">
        <f>AW18*(1+'Green+Social Interface'!$I$35)</f>
        <v>0</v>
      </c>
      <c r="AY18" s="33">
        <f>AX18*(1+'Green+Social Interface'!$I$35)</f>
        <v>0</v>
      </c>
      <c r="AZ18" s="33">
        <f>AY18*(1+'Green+Social Interface'!$I$35)</f>
        <v>0</v>
      </c>
      <c r="BA18" s="33">
        <f>AZ18*(1+'Green+Social Interface'!$I$35)</f>
        <v>0</v>
      </c>
      <c r="BB18" t="s">
        <v>999</v>
      </c>
    </row>
    <row r="19" spans="1:54" x14ac:dyDescent="0.25">
      <c r="A19" s="118"/>
      <c r="B19" s="24"/>
      <c r="C19" s="25" t="s">
        <v>7</v>
      </c>
      <c r="D19" s="25" t="s">
        <v>70</v>
      </c>
      <c r="E19" s="26">
        <f>IF('Green+Social Interface'!D19&gt;0,(0.535*(Q94-(Q94*$Q$103))*52)-(0.375*(Q94-(Q94*$Q$103))*52),0)</f>
        <v>0</v>
      </c>
      <c r="F19" s="18">
        <f>E19*VLOOKUP('Green+Social Interface'!$I$38,'Look-ups'!$A$15:$B$43,2,0)</f>
        <v>0</v>
      </c>
      <c r="G19" s="27">
        <v>1</v>
      </c>
      <c r="H19" s="27">
        <f>IF(H143&gt;0,'Green+Social Interface'!$D$19*(1-($H$137/$H$143)),0)</f>
        <v>0</v>
      </c>
      <c r="I19" s="21">
        <f>1-('Green+Social Interface'!$O$11)</f>
        <v>0.97499999999999998</v>
      </c>
      <c r="J19" s="22"/>
      <c r="K19" s="32">
        <f t="shared" si="3"/>
        <v>0</v>
      </c>
      <c r="L19" s="32">
        <f t="shared" si="4"/>
        <v>0</v>
      </c>
      <c r="M19" s="152">
        <f t="shared" si="5"/>
        <v>0</v>
      </c>
      <c r="N19" s="33">
        <f t="shared" si="6"/>
        <v>0</v>
      </c>
      <c r="O19" s="33">
        <f>N19*(1+'Green+Social Interface'!$I$35)</f>
        <v>0</v>
      </c>
      <c r="P19" s="33">
        <f>O19*(1+'Green+Social Interface'!$I$35)</f>
        <v>0</v>
      </c>
      <c r="Q19" s="33">
        <f>P19*(1+'Green+Social Interface'!$I$35)</f>
        <v>0</v>
      </c>
      <c r="R19" s="33">
        <f>Q19*(1+'Green+Social Interface'!$I$35)</f>
        <v>0</v>
      </c>
      <c r="S19" s="33">
        <f>R19*(1+'Green+Social Interface'!$I$35)</f>
        <v>0</v>
      </c>
      <c r="T19" s="33">
        <f>S19*(1+'Green+Social Interface'!$I$35)</f>
        <v>0</v>
      </c>
      <c r="U19" s="33">
        <f>T19*(1+'Green+Social Interface'!$I$35)</f>
        <v>0</v>
      </c>
      <c r="V19" s="33">
        <f>U19*(1+'Green+Social Interface'!$I$35)</f>
        <v>0</v>
      </c>
      <c r="W19" s="33">
        <f>V19*(1+'Green+Social Interface'!$I$35)</f>
        <v>0</v>
      </c>
      <c r="X19" s="33">
        <f>W19*(1+'Green+Social Interface'!$I$35)</f>
        <v>0</v>
      </c>
      <c r="Y19" s="33">
        <f>X19*(1+'Green+Social Interface'!$I$35)</f>
        <v>0</v>
      </c>
      <c r="Z19" s="33">
        <f>Y19*(1+'Green+Social Interface'!$I$35)</f>
        <v>0</v>
      </c>
      <c r="AA19" s="33">
        <f>Z19*(1+'Green+Social Interface'!$I$35)</f>
        <v>0</v>
      </c>
      <c r="AB19" s="33">
        <f>AA19*(1+'Green+Social Interface'!$I$35)</f>
        <v>0</v>
      </c>
      <c r="AC19" s="33">
        <f>AB19*(1+'Green+Social Interface'!$I$35)</f>
        <v>0</v>
      </c>
      <c r="AD19" s="33">
        <f>AC19*(1+'Green+Social Interface'!$I$35)</f>
        <v>0</v>
      </c>
      <c r="AE19" s="33">
        <f>AD19*(1+'Green+Social Interface'!$I$35)</f>
        <v>0</v>
      </c>
      <c r="AF19" s="33">
        <f>AE19*(1+'Green+Social Interface'!$I$35)</f>
        <v>0</v>
      </c>
      <c r="AG19" s="33">
        <f>AF19*(1+'Green+Social Interface'!$I$35)</f>
        <v>0</v>
      </c>
      <c r="AH19" s="33">
        <f>AG19*(1+'Green+Social Interface'!$I$35)</f>
        <v>0</v>
      </c>
      <c r="AI19" s="33">
        <f>AH19*(1+'Green+Social Interface'!$I$35)</f>
        <v>0</v>
      </c>
      <c r="AJ19" s="33">
        <f>AI19*(1+'Green+Social Interface'!$I$35)</f>
        <v>0</v>
      </c>
      <c r="AK19" s="33">
        <f>AJ19*(1+'Green+Social Interface'!$I$35)</f>
        <v>0</v>
      </c>
      <c r="AL19" s="33">
        <f>AK19*(1+'Green+Social Interface'!$I$35)</f>
        <v>0</v>
      </c>
      <c r="AM19" s="33">
        <f>AL19*(1+'Green+Social Interface'!$I$35)</f>
        <v>0</v>
      </c>
      <c r="AN19" s="33">
        <f>AM19*(1+'Green+Social Interface'!$I$35)</f>
        <v>0</v>
      </c>
      <c r="AO19" s="33">
        <f>AN19*(1+'Green+Social Interface'!$I$35)</f>
        <v>0</v>
      </c>
      <c r="AP19" s="33">
        <f>AO19*(1+'Green+Social Interface'!$I$35)</f>
        <v>0</v>
      </c>
      <c r="AQ19" s="33">
        <f>AP19*(1+'Green+Social Interface'!$I$35)</f>
        <v>0</v>
      </c>
      <c r="AR19" s="33">
        <f>AQ19*(1+'Green+Social Interface'!$I$35)</f>
        <v>0</v>
      </c>
      <c r="AS19" s="33">
        <f>AR19*(1+'Green+Social Interface'!$I$35)</f>
        <v>0</v>
      </c>
      <c r="AT19" s="33">
        <f>AS19*(1+'Green+Social Interface'!$I$35)</f>
        <v>0</v>
      </c>
      <c r="AU19" s="33">
        <f>AT19*(1+'Green+Social Interface'!$I$35)</f>
        <v>0</v>
      </c>
      <c r="AV19" s="33">
        <f>AU19*(1+'Green+Social Interface'!$I$35)</f>
        <v>0</v>
      </c>
      <c r="AW19" s="33">
        <f>AV19*(1+'Green+Social Interface'!$I$35)</f>
        <v>0</v>
      </c>
      <c r="AX19" s="33">
        <f>AW19*(1+'Green+Social Interface'!$I$35)</f>
        <v>0</v>
      </c>
      <c r="AY19" s="33">
        <f>AX19*(1+'Green+Social Interface'!$I$35)</f>
        <v>0</v>
      </c>
      <c r="AZ19" s="33">
        <f>AY19*(1+'Green+Social Interface'!$I$35)</f>
        <v>0</v>
      </c>
      <c r="BA19" s="33">
        <f>AZ19*(1+'Green+Social Interface'!$I$35)</f>
        <v>0</v>
      </c>
    </row>
    <row r="20" spans="1:54" x14ac:dyDescent="0.25">
      <c r="A20" s="118"/>
      <c r="B20" s="24"/>
      <c r="C20" s="25" t="s">
        <v>8</v>
      </c>
      <c r="D20" s="25" t="s">
        <v>70</v>
      </c>
      <c r="E20" s="26">
        <f>IF('Green+Social Interface'!D20&gt;0,(0.535*(Q95-(Q95*$Q$103))*52)-(0.375*(Q95-(Q95*$Q$103))*52),0)</f>
        <v>0</v>
      </c>
      <c r="F20" s="18">
        <f>E20*VLOOKUP('Green+Social Interface'!$I$38,'Look-ups'!$A$15:$B$43,2,0)</f>
        <v>0</v>
      </c>
      <c r="G20" s="27">
        <v>1</v>
      </c>
      <c r="H20" s="27">
        <f>IF(H143&gt;0,'Green+Social Interface'!$D$20*(1-($H$137/$H$143)),0)</f>
        <v>0</v>
      </c>
      <c r="I20" s="21">
        <f>1-('Green+Social Interface'!$O$11)</f>
        <v>0.97499999999999998</v>
      </c>
      <c r="J20" s="22"/>
      <c r="K20" s="32">
        <f t="shared" si="3"/>
        <v>0</v>
      </c>
      <c r="L20" s="32">
        <f t="shared" si="4"/>
        <v>0</v>
      </c>
      <c r="M20" s="152">
        <f t="shared" si="5"/>
        <v>0</v>
      </c>
      <c r="N20" s="33">
        <f t="shared" si="6"/>
        <v>0</v>
      </c>
      <c r="O20" s="33">
        <f>N20*(1+'Green+Social Interface'!$I$35)</f>
        <v>0</v>
      </c>
      <c r="P20" s="33">
        <f>O20*(1+'Green+Social Interface'!$I$35)</f>
        <v>0</v>
      </c>
      <c r="Q20" s="33">
        <f>P20*(1+'Green+Social Interface'!$I$35)</f>
        <v>0</v>
      </c>
      <c r="R20" s="33">
        <f>Q20*(1+'Green+Social Interface'!$I$35)</f>
        <v>0</v>
      </c>
      <c r="S20" s="33">
        <f>R20*(1+'Green+Social Interface'!$I$35)</f>
        <v>0</v>
      </c>
      <c r="T20" s="33">
        <f>S20*(1+'Green+Social Interface'!$I$35)</f>
        <v>0</v>
      </c>
      <c r="U20" s="33">
        <f>T20*(1+'Green+Social Interface'!$I$35)</f>
        <v>0</v>
      </c>
      <c r="V20" s="33">
        <f>U20*(1+'Green+Social Interface'!$I$35)</f>
        <v>0</v>
      </c>
      <c r="W20" s="33">
        <f>V20*(1+'Green+Social Interface'!$I$35)</f>
        <v>0</v>
      </c>
      <c r="X20" s="33">
        <f>W20*(1+'Green+Social Interface'!$I$35)</f>
        <v>0</v>
      </c>
      <c r="Y20" s="33">
        <f>X20*(1+'Green+Social Interface'!$I$35)</f>
        <v>0</v>
      </c>
      <c r="Z20" s="33">
        <f>Y20*(1+'Green+Social Interface'!$I$35)</f>
        <v>0</v>
      </c>
      <c r="AA20" s="33">
        <f>Z20*(1+'Green+Social Interface'!$I$35)</f>
        <v>0</v>
      </c>
      <c r="AB20" s="33">
        <f>AA20*(1+'Green+Social Interface'!$I$35)</f>
        <v>0</v>
      </c>
      <c r="AC20" s="33">
        <f>AB20*(1+'Green+Social Interface'!$I$35)</f>
        <v>0</v>
      </c>
      <c r="AD20" s="33">
        <f>AC20*(1+'Green+Social Interface'!$I$35)</f>
        <v>0</v>
      </c>
      <c r="AE20" s="33">
        <f>AD20*(1+'Green+Social Interface'!$I$35)</f>
        <v>0</v>
      </c>
      <c r="AF20" s="33">
        <f>AE20*(1+'Green+Social Interface'!$I$35)</f>
        <v>0</v>
      </c>
      <c r="AG20" s="33">
        <f>AF20*(1+'Green+Social Interface'!$I$35)</f>
        <v>0</v>
      </c>
      <c r="AH20" s="33">
        <f>AG20*(1+'Green+Social Interface'!$I$35)</f>
        <v>0</v>
      </c>
      <c r="AI20" s="33">
        <f>AH20*(1+'Green+Social Interface'!$I$35)</f>
        <v>0</v>
      </c>
      <c r="AJ20" s="33">
        <f>AI20*(1+'Green+Social Interface'!$I$35)</f>
        <v>0</v>
      </c>
      <c r="AK20" s="33">
        <f>AJ20*(1+'Green+Social Interface'!$I$35)</f>
        <v>0</v>
      </c>
      <c r="AL20" s="33">
        <f>AK20*(1+'Green+Social Interface'!$I$35)</f>
        <v>0</v>
      </c>
      <c r="AM20" s="33">
        <f>AL20*(1+'Green+Social Interface'!$I$35)</f>
        <v>0</v>
      </c>
      <c r="AN20" s="33">
        <f>AM20*(1+'Green+Social Interface'!$I$35)</f>
        <v>0</v>
      </c>
      <c r="AO20" s="33">
        <f>AN20*(1+'Green+Social Interface'!$I$35)</f>
        <v>0</v>
      </c>
      <c r="AP20" s="33">
        <f>AO20*(1+'Green+Social Interface'!$I$35)</f>
        <v>0</v>
      </c>
      <c r="AQ20" s="33">
        <f>AP20*(1+'Green+Social Interface'!$I$35)</f>
        <v>0</v>
      </c>
      <c r="AR20" s="33">
        <f>AQ20*(1+'Green+Social Interface'!$I$35)</f>
        <v>0</v>
      </c>
      <c r="AS20" s="33">
        <f>AR20*(1+'Green+Social Interface'!$I$35)</f>
        <v>0</v>
      </c>
      <c r="AT20" s="33">
        <f>AS20*(1+'Green+Social Interface'!$I$35)</f>
        <v>0</v>
      </c>
      <c r="AU20" s="33">
        <f>AT20*(1+'Green+Social Interface'!$I$35)</f>
        <v>0</v>
      </c>
      <c r="AV20" s="33">
        <f>AU20*(1+'Green+Social Interface'!$I$35)</f>
        <v>0</v>
      </c>
      <c r="AW20" s="33">
        <f>AV20*(1+'Green+Social Interface'!$I$35)</f>
        <v>0</v>
      </c>
      <c r="AX20" s="33">
        <f>AW20*(1+'Green+Social Interface'!$I$35)</f>
        <v>0</v>
      </c>
      <c r="AY20" s="33">
        <f>AX20*(1+'Green+Social Interface'!$I$35)</f>
        <v>0</v>
      </c>
      <c r="AZ20" s="33">
        <f>AY20*(1+'Green+Social Interface'!$I$35)</f>
        <v>0</v>
      </c>
      <c r="BA20" s="33">
        <f>AZ20*(1+'Green+Social Interface'!$I$35)</f>
        <v>0</v>
      </c>
    </row>
    <row r="21" spans="1:54" x14ac:dyDescent="0.25">
      <c r="A21" s="118"/>
      <c r="B21" s="24"/>
      <c r="C21" s="25" t="s">
        <v>9</v>
      </c>
      <c r="D21" s="25" t="s">
        <v>70</v>
      </c>
      <c r="E21" s="26">
        <f>IF('Green+Social Interface'!D21&gt;0,(0.535*(Q96-(Q96*$Q$103))*52)-(0.375*(Q96-(Q96*$Q$103))*52),0)</f>
        <v>0</v>
      </c>
      <c r="F21" s="18">
        <f>E21*VLOOKUP('Green+Social Interface'!$I$38,'Look-ups'!$A$15:$B$43,2,0)</f>
        <v>0</v>
      </c>
      <c r="G21" s="27">
        <v>1</v>
      </c>
      <c r="H21" s="27">
        <f>IF(H143&gt;0,'Green+Social Interface'!$D$21*(1-($H$137/$H$143)),0)</f>
        <v>0</v>
      </c>
      <c r="I21" s="21">
        <f>1-('Green+Social Interface'!$O$11)</f>
        <v>0.97499999999999998</v>
      </c>
      <c r="J21" s="22"/>
      <c r="K21" s="32">
        <f t="shared" si="3"/>
        <v>0</v>
      </c>
      <c r="L21" s="32">
        <f t="shared" si="4"/>
        <v>0</v>
      </c>
      <c r="M21" s="152">
        <f t="shared" si="5"/>
        <v>0</v>
      </c>
      <c r="N21" s="33">
        <f t="shared" si="6"/>
        <v>0</v>
      </c>
      <c r="O21" s="33">
        <f>N21*(1+'Green+Social Interface'!$I$35)</f>
        <v>0</v>
      </c>
      <c r="P21" s="33">
        <f>O21*(1+'Green+Social Interface'!$I$35)</f>
        <v>0</v>
      </c>
      <c r="Q21" s="33">
        <f>P21*(1+'Green+Social Interface'!$I$35)</f>
        <v>0</v>
      </c>
      <c r="R21" s="33">
        <f>Q21*(1+'Green+Social Interface'!$I$35)</f>
        <v>0</v>
      </c>
      <c r="S21" s="33">
        <f>R21*(1+'Green+Social Interface'!$I$35)</f>
        <v>0</v>
      </c>
      <c r="T21" s="33">
        <f>S21*(1+'Green+Social Interface'!$I$35)</f>
        <v>0</v>
      </c>
      <c r="U21" s="33">
        <f>T21*(1+'Green+Social Interface'!$I$35)</f>
        <v>0</v>
      </c>
      <c r="V21" s="33">
        <f>U21*(1+'Green+Social Interface'!$I$35)</f>
        <v>0</v>
      </c>
      <c r="W21" s="33">
        <f>V21*(1+'Green+Social Interface'!$I$35)</f>
        <v>0</v>
      </c>
      <c r="X21" s="33">
        <f>W21*(1+'Green+Social Interface'!$I$35)</f>
        <v>0</v>
      </c>
      <c r="Y21" s="33">
        <f>X21*(1+'Green+Social Interface'!$I$35)</f>
        <v>0</v>
      </c>
      <c r="Z21" s="33">
        <f>Y21*(1+'Green+Social Interface'!$I$35)</f>
        <v>0</v>
      </c>
      <c r="AA21" s="33">
        <f>Z21*(1+'Green+Social Interface'!$I$35)</f>
        <v>0</v>
      </c>
      <c r="AB21" s="33">
        <f>AA21*(1+'Green+Social Interface'!$I$35)</f>
        <v>0</v>
      </c>
      <c r="AC21" s="33">
        <f>AB21*(1+'Green+Social Interface'!$I$35)</f>
        <v>0</v>
      </c>
      <c r="AD21" s="33">
        <f>AC21*(1+'Green+Social Interface'!$I$35)</f>
        <v>0</v>
      </c>
      <c r="AE21" s="33">
        <f>AD21*(1+'Green+Social Interface'!$I$35)</f>
        <v>0</v>
      </c>
      <c r="AF21" s="33">
        <f>AE21*(1+'Green+Social Interface'!$I$35)</f>
        <v>0</v>
      </c>
      <c r="AG21" s="33">
        <f>AF21*(1+'Green+Social Interface'!$I$35)</f>
        <v>0</v>
      </c>
      <c r="AH21" s="33">
        <f>AG21*(1+'Green+Social Interface'!$I$35)</f>
        <v>0</v>
      </c>
      <c r="AI21" s="33">
        <f>AH21*(1+'Green+Social Interface'!$I$35)</f>
        <v>0</v>
      </c>
      <c r="AJ21" s="33">
        <f>AI21*(1+'Green+Social Interface'!$I$35)</f>
        <v>0</v>
      </c>
      <c r="AK21" s="33">
        <f>AJ21*(1+'Green+Social Interface'!$I$35)</f>
        <v>0</v>
      </c>
      <c r="AL21" s="33">
        <f>AK21*(1+'Green+Social Interface'!$I$35)</f>
        <v>0</v>
      </c>
      <c r="AM21" s="33">
        <f>AL21*(1+'Green+Social Interface'!$I$35)</f>
        <v>0</v>
      </c>
      <c r="AN21" s="33">
        <f>AM21*(1+'Green+Social Interface'!$I$35)</f>
        <v>0</v>
      </c>
      <c r="AO21" s="33">
        <f>AN21*(1+'Green+Social Interface'!$I$35)</f>
        <v>0</v>
      </c>
      <c r="AP21" s="33">
        <f>AO21*(1+'Green+Social Interface'!$I$35)</f>
        <v>0</v>
      </c>
      <c r="AQ21" s="33">
        <f>AP21*(1+'Green+Social Interface'!$I$35)</f>
        <v>0</v>
      </c>
      <c r="AR21" s="33">
        <f>AQ21*(1+'Green+Social Interface'!$I$35)</f>
        <v>0</v>
      </c>
      <c r="AS21" s="33">
        <f>AR21*(1+'Green+Social Interface'!$I$35)</f>
        <v>0</v>
      </c>
      <c r="AT21" s="33">
        <f>AS21*(1+'Green+Social Interface'!$I$35)</f>
        <v>0</v>
      </c>
      <c r="AU21" s="33">
        <f>AT21*(1+'Green+Social Interface'!$I$35)</f>
        <v>0</v>
      </c>
      <c r="AV21" s="33">
        <f>AU21*(1+'Green+Social Interface'!$I$35)</f>
        <v>0</v>
      </c>
      <c r="AW21" s="33">
        <f>AV21*(1+'Green+Social Interface'!$I$35)</f>
        <v>0</v>
      </c>
      <c r="AX21" s="33">
        <f>AW21*(1+'Green+Social Interface'!$I$35)</f>
        <v>0</v>
      </c>
      <c r="AY21" s="33">
        <f>AX21*(1+'Green+Social Interface'!$I$35)</f>
        <v>0</v>
      </c>
      <c r="AZ21" s="33">
        <f>AY21*(1+'Green+Social Interface'!$I$35)</f>
        <v>0</v>
      </c>
      <c r="BA21" s="33">
        <f>AZ21*(1+'Green+Social Interface'!$I$35)</f>
        <v>0</v>
      </c>
    </row>
    <row r="22" spans="1:54" x14ac:dyDescent="0.25">
      <c r="A22" s="118"/>
      <c r="B22" s="24"/>
      <c r="C22" s="25" t="s">
        <v>11</v>
      </c>
      <c r="D22" s="25" t="s">
        <v>70</v>
      </c>
      <c r="E22" s="26">
        <f>IF('Green+Social Interface'!D22&gt;0,(0.535*(Q97-(Q97*$Q$103))*52)-(0.375*(Q97-(Q97*$Q$103))*52),0)</f>
        <v>0</v>
      </c>
      <c r="F22" s="18">
        <f>E22*VLOOKUP('Green+Social Interface'!$I$38,'Look-ups'!$A$15:$B$43,2,0)</f>
        <v>0</v>
      </c>
      <c r="G22" s="27">
        <v>1</v>
      </c>
      <c r="H22" s="27">
        <f>IF(H143&gt;0,'Green+Social Interface'!$D$22*(1-($H$137/$H$143)),0)</f>
        <v>0</v>
      </c>
      <c r="I22" s="21">
        <f>1-('Green+Social Interface'!$O$11)</f>
        <v>0.97499999999999998</v>
      </c>
      <c r="J22" s="22"/>
      <c r="K22" s="32">
        <f t="shared" si="3"/>
        <v>0</v>
      </c>
      <c r="L22" s="32">
        <f t="shared" si="4"/>
        <v>0</v>
      </c>
      <c r="M22" s="152">
        <f t="shared" si="5"/>
        <v>0</v>
      </c>
      <c r="N22" s="33">
        <f t="shared" si="6"/>
        <v>0</v>
      </c>
      <c r="O22" s="33">
        <f>N22*(1+'Green+Social Interface'!$I$35)</f>
        <v>0</v>
      </c>
      <c r="P22" s="33">
        <f>O22*(1+'Green+Social Interface'!$I$35)</f>
        <v>0</v>
      </c>
      <c r="Q22" s="33">
        <f>P22*(1+'Green+Social Interface'!$I$35)</f>
        <v>0</v>
      </c>
      <c r="R22" s="33">
        <f>Q22*(1+'Green+Social Interface'!$I$35)</f>
        <v>0</v>
      </c>
      <c r="S22" s="33">
        <f>R22*(1+'Green+Social Interface'!$I$35)</f>
        <v>0</v>
      </c>
      <c r="T22" s="33">
        <f>S22*(1+'Green+Social Interface'!$I$35)</f>
        <v>0</v>
      </c>
      <c r="U22" s="33">
        <f>T22*(1+'Green+Social Interface'!$I$35)</f>
        <v>0</v>
      </c>
      <c r="V22" s="33">
        <f>U22*(1+'Green+Social Interface'!$I$35)</f>
        <v>0</v>
      </c>
      <c r="W22" s="33">
        <f>V22*(1+'Green+Social Interface'!$I$35)</f>
        <v>0</v>
      </c>
      <c r="X22" s="33">
        <f>W22*(1+'Green+Social Interface'!$I$35)</f>
        <v>0</v>
      </c>
      <c r="Y22" s="33">
        <f>X22*(1+'Green+Social Interface'!$I$35)</f>
        <v>0</v>
      </c>
      <c r="Z22" s="33">
        <f>Y22*(1+'Green+Social Interface'!$I$35)</f>
        <v>0</v>
      </c>
      <c r="AA22" s="33">
        <f>Z22*(1+'Green+Social Interface'!$I$35)</f>
        <v>0</v>
      </c>
      <c r="AB22" s="33">
        <f>AA22*(1+'Green+Social Interface'!$I$35)</f>
        <v>0</v>
      </c>
      <c r="AC22" s="33">
        <f>AB22*(1+'Green+Social Interface'!$I$35)</f>
        <v>0</v>
      </c>
      <c r="AD22" s="33">
        <f>AC22*(1+'Green+Social Interface'!$I$35)</f>
        <v>0</v>
      </c>
      <c r="AE22" s="33">
        <f>AD22*(1+'Green+Social Interface'!$I$35)</f>
        <v>0</v>
      </c>
      <c r="AF22" s="33">
        <f>AE22*(1+'Green+Social Interface'!$I$35)</f>
        <v>0</v>
      </c>
      <c r="AG22" s="33">
        <f>AF22*(1+'Green+Social Interface'!$I$35)</f>
        <v>0</v>
      </c>
      <c r="AH22" s="33">
        <f>AG22*(1+'Green+Social Interface'!$I$35)</f>
        <v>0</v>
      </c>
      <c r="AI22" s="33">
        <f>AH22*(1+'Green+Social Interface'!$I$35)</f>
        <v>0</v>
      </c>
      <c r="AJ22" s="33">
        <f>AI22*(1+'Green+Social Interface'!$I$35)</f>
        <v>0</v>
      </c>
      <c r="AK22" s="33">
        <f>AJ22*(1+'Green+Social Interface'!$I$35)</f>
        <v>0</v>
      </c>
      <c r="AL22" s="33">
        <f>AK22*(1+'Green+Social Interface'!$I$35)</f>
        <v>0</v>
      </c>
      <c r="AM22" s="33">
        <f>AL22*(1+'Green+Social Interface'!$I$35)</f>
        <v>0</v>
      </c>
      <c r="AN22" s="33">
        <f>AM22*(1+'Green+Social Interface'!$I$35)</f>
        <v>0</v>
      </c>
      <c r="AO22" s="33">
        <f>AN22*(1+'Green+Social Interface'!$I$35)</f>
        <v>0</v>
      </c>
      <c r="AP22" s="33">
        <f>AO22*(1+'Green+Social Interface'!$I$35)</f>
        <v>0</v>
      </c>
      <c r="AQ22" s="33">
        <f>AP22*(1+'Green+Social Interface'!$I$35)</f>
        <v>0</v>
      </c>
      <c r="AR22" s="33">
        <f>AQ22*(1+'Green+Social Interface'!$I$35)</f>
        <v>0</v>
      </c>
      <c r="AS22" s="33">
        <f>AR22*(1+'Green+Social Interface'!$I$35)</f>
        <v>0</v>
      </c>
      <c r="AT22" s="33">
        <f>AS22*(1+'Green+Social Interface'!$I$35)</f>
        <v>0</v>
      </c>
      <c r="AU22" s="33">
        <f>AT22*(1+'Green+Social Interface'!$I$35)</f>
        <v>0</v>
      </c>
      <c r="AV22" s="33">
        <f>AU22*(1+'Green+Social Interface'!$I$35)</f>
        <v>0</v>
      </c>
      <c r="AW22" s="33">
        <f>AV22*(1+'Green+Social Interface'!$I$35)</f>
        <v>0</v>
      </c>
      <c r="AX22" s="33">
        <f>AW22*(1+'Green+Social Interface'!$I$35)</f>
        <v>0</v>
      </c>
      <c r="AY22" s="33">
        <f>AX22*(1+'Green+Social Interface'!$I$35)</f>
        <v>0</v>
      </c>
      <c r="AZ22" s="33">
        <f>AY22*(1+'Green+Social Interface'!$I$35)</f>
        <v>0</v>
      </c>
      <c r="BA22" s="33">
        <f>AZ22*(1+'Green+Social Interface'!$I$35)</f>
        <v>0</v>
      </c>
    </row>
    <row r="23" spans="1:54" x14ac:dyDescent="0.25">
      <c r="A23" s="118" t="s">
        <v>109</v>
      </c>
      <c r="B23" s="24" t="s">
        <v>5</v>
      </c>
      <c r="C23" s="29" t="s">
        <v>10</v>
      </c>
      <c r="D23" s="25" t="s">
        <v>70</v>
      </c>
      <c r="E23" s="26">
        <f>IF('Green+Social Interface'!T18&gt;0,(0.535*(Q87-(S87))*52)-(0.375*(Q87-(S87))*52),0)</f>
        <v>0</v>
      </c>
      <c r="F23" s="18">
        <f>E23*VLOOKUP('Green+Social Interface'!$I$38,'Look-ups'!$A$15:$B$43,2,0)</f>
        <v>0</v>
      </c>
      <c r="G23" s="27">
        <v>0.3</v>
      </c>
      <c r="H23" s="27">
        <f>IF(H142&gt;0,'Green+Social Interface'!$T$18*(1-($H$136/$H$142)),0)</f>
        <v>0</v>
      </c>
      <c r="I23" s="21">
        <f>1-('Green+Social Interface'!$O$11)</f>
        <v>0.97499999999999998</v>
      </c>
      <c r="J23" s="22"/>
      <c r="K23" s="32">
        <f t="shared" si="3"/>
        <v>0</v>
      </c>
      <c r="L23" s="32">
        <f t="shared" si="4"/>
        <v>0</v>
      </c>
      <c r="M23" s="152">
        <f t="shared" si="5"/>
        <v>0</v>
      </c>
      <c r="N23" s="33">
        <f t="shared" si="6"/>
        <v>0</v>
      </c>
      <c r="O23" s="33">
        <f>N23*(1+'Green+Social Interface'!$I$35)</f>
        <v>0</v>
      </c>
      <c r="P23" s="33">
        <f>O23*(1+'Green+Social Interface'!$I$35)</f>
        <v>0</v>
      </c>
      <c r="Q23" s="33">
        <f>P23*(1+'Green+Social Interface'!$I$35)</f>
        <v>0</v>
      </c>
      <c r="R23" s="33">
        <f>Q23*(1+'Green+Social Interface'!$I$35)</f>
        <v>0</v>
      </c>
      <c r="S23" s="33">
        <f>R23*(1+'Green+Social Interface'!$I$35)</f>
        <v>0</v>
      </c>
      <c r="T23" s="33">
        <f>S23*(1+'Green+Social Interface'!$I$35)</f>
        <v>0</v>
      </c>
      <c r="U23" s="33">
        <f>T23*(1+'Green+Social Interface'!$I$35)</f>
        <v>0</v>
      </c>
      <c r="V23" s="33">
        <f>U23*(1+'Green+Social Interface'!$I$35)</f>
        <v>0</v>
      </c>
      <c r="W23" s="33">
        <f>V23*(1+'Green+Social Interface'!$I$35)</f>
        <v>0</v>
      </c>
      <c r="X23" s="33">
        <f>W23*(1+'Green+Social Interface'!$I$35)</f>
        <v>0</v>
      </c>
      <c r="Y23" s="33">
        <f>X23*(1+'Green+Social Interface'!$I$35)</f>
        <v>0</v>
      </c>
      <c r="Z23" s="33">
        <f>Y23*(1+'Green+Social Interface'!$I$35)</f>
        <v>0</v>
      </c>
      <c r="AA23" s="33">
        <f>Z23*(1+'Green+Social Interface'!$I$35)</f>
        <v>0</v>
      </c>
      <c r="AB23" s="33">
        <f>AA23*(1+'Green+Social Interface'!$I$35)</f>
        <v>0</v>
      </c>
      <c r="AC23" s="33">
        <f>AB23*(1+'Green+Social Interface'!$I$35)</f>
        <v>0</v>
      </c>
      <c r="AD23" s="33">
        <f>AC23*(1+'Green+Social Interface'!$I$35)</f>
        <v>0</v>
      </c>
      <c r="AE23" s="33">
        <f>AD23*(1+'Green+Social Interface'!$I$35)</f>
        <v>0</v>
      </c>
      <c r="AF23" s="33">
        <f>AE23*(1+'Green+Social Interface'!$I$35)</f>
        <v>0</v>
      </c>
      <c r="AG23" s="33">
        <f>AF23*(1+'Green+Social Interface'!$I$35)</f>
        <v>0</v>
      </c>
      <c r="AH23" s="33">
        <f>AG23*(1+'Green+Social Interface'!$I$35)</f>
        <v>0</v>
      </c>
      <c r="AI23" s="33">
        <f>AH23*(1+'Green+Social Interface'!$I$35)</f>
        <v>0</v>
      </c>
      <c r="AJ23" s="33">
        <f>AI23*(1+'Green+Social Interface'!$I$35)</f>
        <v>0</v>
      </c>
      <c r="AK23" s="33">
        <f>AJ23*(1+'Green+Social Interface'!$I$35)</f>
        <v>0</v>
      </c>
      <c r="AL23" s="33">
        <f>AK23*(1+'Green+Social Interface'!$I$35)</f>
        <v>0</v>
      </c>
      <c r="AM23" s="33">
        <f>AL23*(1+'Green+Social Interface'!$I$35)</f>
        <v>0</v>
      </c>
      <c r="AN23" s="33">
        <f>AM23*(1+'Green+Social Interface'!$I$35)</f>
        <v>0</v>
      </c>
      <c r="AO23" s="33">
        <f>AN23*(1+'Green+Social Interface'!$I$35)</f>
        <v>0</v>
      </c>
      <c r="AP23" s="33">
        <f>AO23*(1+'Green+Social Interface'!$I$35)</f>
        <v>0</v>
      </c>
      <c r="AQ23" s="33">
        <f>AP23*(1+'Green+Social Interface'!$I$35)</f>
        <v>0</v>
      </c>
      <c r="AR23" s="33">
        <f>AQ23*(1+'Green+Social Interface'!$I$35)</f>
        <v>0</v>
      </c>
      <c r="AS23" s="33">
        <f>AR23*(1+'Green+Social Interface'!$I$35)</f>
        <v>0</v>
      </c>
      <c r="AT23" s="33">
        <f>AS23*(1+'Green+Social Interface'!$I$35)</f>
        <v>0</v>
      </c>
      <c r="AU23" s="33">
        <f>AT23*(1+'Green+Social Interface'!$I$35)</f>
        <v>0</v>
      </c>
      <c r="AV23" s="33">
        <f>AU23*(1+'Green+Social Interface'!$I$35)</f>
        <v>0</v>
      </c>
      <c r="AW23" s="33">
        <f>AV23*(1+'Green+Social Interface'!$I$35)</f>
        <v>0</v>
      </c>
      <c r="AX23" s="33">
        <f>AW23*(1+'Green+Social Interface'!$I$35)</f>
        <v>0</v>
      </c>
      <c r="AY23" s="33">
        <f>AX23*(1+'Green+Social Interface'!$I$35)</f>
        <v>0</v>
      </c>
      <c r="AZ23" s="33">
        <f>AY23*(1+'Green+Social Interface'!$I$35)</f>
        <v>0</v>
      </c>
      <c r="BA23" s="33">
        <f>AZ23*(1+'Green+Social Interface'!$I$35)</f>
        <v>0</v>
      </c>
    </row>
    <row r="24" spans="1:54" x14ac:dyDescent="0.25">
      <c r="A24" s="118"/>
      <c r="B24" s="24"/>
      <c r="C24" s="25" t="s">
        <v>6</v>
      </c>
      <c r="D24" s="25" t="s">
        <v>70</v>
      </c>
      <c r="E24" s="26">
        <f>IF('Green+Social Interface'!T19&gt;0,(0.535*(Q88-(S88))*52)-(0.375*(Q88-(S88))*52),0)</f>
        <v>0</v>
      </c>
      <c r="F24" s="18">
        <f>E24*VLOOKUP('Green+Social Interface'!$I$38,'Look-ups'!$A$15:$B$43,2,0)</f>
        <v>0</v>
      </c>
      <c r="G24" s="27">
        <v>0.3</v>
      </c>
      <c r="H24" s="27">
        <f>IF(H142&gt;0,'Green+Social Interface'!$T$19*(1-($H$136/$H$142)),0)</f>
        <v>0</v>
      </c>
      <c r="I24" s="21">
        <f>1-('Green+Social Interface'!$O$11)</f>
        <v>0.97499999999999998</v>
      </c>
      <c r="J24" s="22"/>
      <c r="K24" s="32">
        <f t="shared" si="3"/>
        <v>0</v>
      </c>
      <c r="L24" s="32">
        <f t="shared" si="4"/>
        <v>0</v>
      </c>
      <c r="M24" s="152">
        <f t="shared" si="5"/>
        <v>0</v>
      </c>
      <c r="N24" s="33">
        <f t="shared" si="6"/>
        <v>0</v>
      </c>
      <c r="O24" s="33">
        <f>N24*(1+'Green+Social Interface'!$I$35)</f>
        <v>0</v>
      </c>
      <c r="P24" s="33">
        <f>O24*(1+'Green+Social Interface'!$I$35)</f>
        <v>0</v>
      </c>
      <c r="Q24" s="33">
        <f>P24*(1+'Green+Social Interface'!$I$35)</f>
        <v>0</v>
      </c>
      <c r="R24" s="33">
        <f>Q24*(1+'Green+Social Interface'!$I$35)</f>
        <v>0</v>
      </c>
      <c r="S24" s="33">
        <f>R24*(1+'Green+Social Interface'!$I$35)</f>
        <v>0</v>
      </c>
      <c r="T24" s="33">
        <f>S24*(1+'Green+Social Interface'!$I$35)</f>
        <v>0</v>
      </c>
      <c r="U24" s="33">
        <f>T24*(1+'Green+Social Interface'!$I$35)</f>
        <v>0</v>
      </c>
      <c r="V24" s="33">
        <f>U24*(1+'Green+Social Interface'!$I$35)</f>
        <v>0</v>
      </c>
      <c r="W24" s="33">
        <f>V24*(1+'Green+Social Interface'!$I$35)</f>
        <v>0</v>
      </c>
      <c r="X24" s="33">
        <f>W24*(1+'Green+Social Interface'!$I$35)</f>
        <v>0</v>
      </c>
      <c r="Y24" s="33">
        <f>X24*(1+'Green+Social Interface'!$I$35)</f>
        <v>0</v>
      </c>
      <c r="Z24" s="33">
        <f>Y24*(1+'Green+Social Interface'!$I$35)</f>
        <v>0</v>
      </c>
      <c r="AA24" s="33">
        <f>Z24*(1+'Green+Social Interface'!$I$35)</f>
        <v>0</v>
      </c>
      <c r="AB24" s="33">
        <f>AA24*(1+'Green+Social Interface'!$I$35)</f>
        <v>0</v>
      </c>
      <c r="AC24" s="33">
        <f>AB24*(1+'Green+Social Interface'!$I$35)</f>
        <v>0</v>
      </c>
      <c r="AD24" s="33">
        <f>AC24*(1+'Green+Social Interface'!$I$35)</f>
        <v>0</v>
      </c>
      <c r="AE24" s="33">
        <f>AD24*(1+'Green+Social Interface'!$I$35)</f>
        <v>0</v>
      </c>
      <c r="AF24" s="33">
        <f>AE24*(1+'Green+Social Interface'!$I$35)</f>
        <v>0</v>
      </c>
      <c r="AG24" s="33">
        <f>AF24*(1+'Green+Social Interface'!$I$35)</f>
        <v>0</v>
      </c>
      <c r="AH24" s="33">
        <f>AG24*(1+'Green+Social Interface'!$I$35)</f>
        <v>0</v>
      </c>
      <c r="AI24" s="33">
        <f>AH24*(1+'Green+Social Interface'!$I$35)</f>
        <v>0</v>
      </c>
      <c r="AJ24" s="33">
        <f>AI24*(1+'Green+Social Interface'!$I$35)</f>
        <v>0</v>
      </c>
      <c r="AK24" s="33">
        <f>AJ24*(1+'Green+Social Interface'!$I$35)</f>
        <v>0</v>
      </c>
      <c r="AL24" s="33">
        <f>AK24*(1+'Green+Social Interface'!$I$35)</f>
        <v>0</v>
      </c>
      <c r="AM24" s="33">
        <f>AL24*(1+'Green+Social Interface'!$I$35)</f>
        <v>0</v>
      </c>
      <c r="AN24" s="33">
        <f>AM24*(1+'Green+Social Interface'!$I$35)</f>
        <v>0</v>
      </c>
      <c r="AO24" s="33">
        <f>AN24*(1+'Green+Social Interface'!$I$35)</f>
        <v>0</v>
      </c>
      <c r="AP24" s="33">
        <f>AO24*(1+'Green+Social Interface'!$I$35)</f>
        <v>0</v>
      </c>
      <c r="AQ24" s="33">
        <f>AP24*(1+'Green+Social Interface'!$I$35)</f>
        <v>0</v>
      </c>
      <c r="AR24" s="33">
        <f>AQ24*(1+'Green+Social Interface'!$I$35)</f>
        <v>0</v>
      </c>
      <c r="AS24" s="33">
        <f>AR24*(1+'Green+Social Interface'!$I$35)</f>
        <v>0</v>
      </c>
      <c r="AT24" s="33">
        <f>AS24*(1+'Green+Social Interface'!$I$35)</f>
        <v>0</v>
      </c>
      <c r="AU24" s="33">
        <f>AT24*(1+'Green+Social Interface'!$I$35)</f>
        <v>0</v>
      </c>
      <c r="AV24" s="33">
        <f>AU24*(1+'Green+Social Interface'!$I$35)</f>
        <v>0</v>
      </c>
      <c r="AW24" s="33">
        <f>AV24*(1+'Green+Social Interface'!$I$35)</f>
        <v>0</v>
      </c>
      <c r="AX24" s="33">
        <f>AW24*(1+'Green+Social Interface'!$I$35)</f>
        <v>0</v>
      </c>
      <c r="AY24" s="33">
        <f>AX24*(1+'Green+Social Interface'!$I$35)</f>
        <v>0</v>
      </c>
      <c r="AZ24" s="33">
        <f>AY24*(1+'Green+Social Interface'!$I$35)</f>
        <v>0</v>
      </c>
      <c r="BA24" s="33">
        <f>AZ24*(1+'Green+Social Interface'!$I$35)</f>
        <v>0</v>
      </c>
    </row>
    <row r="25" spans="1:54" x14ac:dyDescent="0.25">
      <c r="A25" s="118"/>
      <c r="B25" s="24"/>
      <c r="C25" s="25" t="s">
        <v>7</v>
      </c>
      <c r="D25" s="25" t="s">
        <v>70</v>
      </c>
      <c r="E25" s="26">
        <f>IF('Green+Social Interface'!T20&gt;0,(0.535*(Q89-(S89))*52)-(0.375*(Q89-(S89))*52),0)</f>
        <v>0</v>
      </c>
      <c r="F25" s="18">
        <f>E25*VLOOKUP('Green+Social Interface'!$I$38,'Look-ups'!$A$15:$B$43,2,0)</f>
        <v>0</v>
      </c>
      <c r="G25" s="27">
        <v>0.3</v>
      </c>
      <c r="H25" s="27">
        <f>IF(H142&gt;0,'Green+Social Interface'!$T$20*(1-($H$136/$H$142)),0)</f>
        <v>0</v>
      </c>
      <c r="I25" s="21">
        <f>1-('Green+Social Interface'!$O$11)</f>
        <v>0.97499999999999998</v>
      </c>
      <c r="J25" s="22"/>
      <c r="K25" s="32">
        <f t="shared" si="3"/>
        <v>0</v>
      </c>
      <c r="L25" s="32">
        <f t="shared" si="4"/>
        <v>0</v>
      </c>
      <c r="M25" s="152">
        <f t="shared" si="5"/>
        <v>0</v>
      </c>
      <c r="N25" s="33">
        <f t="shared" si="6"/>
        <v>0</v>
      </c>
      <c r="O25" s="33">
        <f>N25*(1+'Green+Social Interface'!$I$35)</f>
        <v>0</v>
      </c>
      <c r="P25" s="33">
        <f>O25*(1+'Green+Social Interface'!$I$35)</f>
        <v>0</v>
      </c>
      <c r="Q25" s="33">
        <f>P25*(1+'Green+Social Interface'!$I$35)</f>
        <v>0</v>
      </c>
      <c r="R25" s="33">
        <f>Q25*(1+'Green+Social Interface'!$I$35)</f>
        <v>0</v>
      </c>
      <c r="S25" s="33">
        <f>R25*(1+'Green+Social Interface'!$I$35)</f>
        <v>0</v>
      </c>
      <c r="T25" s="33">
        <f>S25*(1+'Green+Social Interface'!$I$35)</f>
        <v>0</v>
      </c>
      <c r="U25" s="33">
        <f>T25*(1+'Green+Social Interface'!$I$35)</f>
        <v>0</v>
      </c>
      <c r="V25" s="33">
        <f>U25*(1+'Green+Social Interface'!$I$35)</f>
        <v>0</v>
      </c>
      <c r="W25" s="33">
        <f>V25*(1+'Green+Social Interface'!$I$35)</f>
        <v>0</v>
      </c>
      <c r="X25" s="33">
        <f>W25*(1+'Green+Social Interface'!$I$35)</f>
        <v>0</v>
      </c>
      <c r="Y25" s="33">
        <f>X25*(1+'Green+Social Interface'!$I$35)</f>
        <v>0</v>
      </c>
      <c r="Z25" s="33">
        <f>Y25*(1+'Green+Social Interface'!$I$35)</f>
        <v>0</v>
      </c>
      <c r="AA25" s="33">
        <f>Z25*(1+'Green+Social Interface'!$I$35)</f>
        <v>0</v>
      </c>
      <c r="AB25" s="33">
        <f>AA25*(1+'Green+Social Interface'!$I$35)</f>
        <v>0</v>
      </c>
      <c r="AC25" s="33">
        <f>AB25*(1+'Green+Social Interface'!$I$35)</f>
        <v>0</v>
      </c>
      <c r="AD25" s="33">
        <f>AC25*(1+'Green+Social Interface'!$I$35)</f>
        <v>0</v>
      </c>
      <c r="AE25" s="33">
        <f>AD25*(1+'Green+Social Interface'!$I$35)</f>
        <v>0</v>
      </c>
      <c r="AF25" s="33">
        <f>AE25*(1+'Green+Social Interface'!$I$35)</f>
        <v>0</v>
      </c>
      <c r="AG25" s="33">
        <f>AF25*(1+'Green+Social Interface'!$I$35)</f>
        <v>0</v>
      </c>
      <c r="AH25" s="33">
        <f>AG25*(1+'Green+Social Interface'!$I$35)</f>
        <v>0</v>
      </c>
      <c r="AI25" s="33">
        <f>AH25*(1+'Green+Social Interface'!$I$35)</f>
        <v>0</v>
      </c>
      <c r="AJ25" s="33">
        <f>AI25*(1+'Green+Social Interface'!$I$35)</f>
        <v>0</v>
      </c>
      <c r="AK25" s="33">
        <f>AJ25*(1+'Green+Social Interface'!$I$35)</f>
        <v>0</v>
      </c>
      <c r="AL25" s="33">
        <f>AK25*(1+'Green+Social Interface'!$I$35)</f>
        <v>0</v>
      </c>
      <c r="AM25" s="33">
        <f>AL25*(1+'Green+Social Interface'!$I$35)</f>
        <v>0</v>
      </c>
      <c r="AN25" s="33">
        <f>AM25*(1+'Green+Social Interface'!$I$35)</f>
        <v>0</v>
      </c>
      <c r="AO25" s="33">
        <f>AN25*(1+'Green+Social Interface'!$I$35)</f>
        <v>0</v>
      </c>
      <c r="AP25" s="33">
        <f>AO25*(1+'Green+Social Interface'!$I$35)</f>
        <v>0</v>
      </c>
      <c r="AQ25" s="33">
        <f>AP25*(1+'Green+Social Interface'!$I$35)</f>
        <v>0</v>
      </c>
      <c r="AR25" s="33">
        <f>AQ25*(1+'Green+Social Interface'!$I$35)</f>
        <v>0</v>
      </c>
      <c r="AS25" s="33">
        <f>AR25*(1+'Green+Social Interface'!$I$35)</f>
        <v>0</v>
      </c>
      <c r="AT25" s="33">
        <f>AS25*(1+'Green+Social Interface'!$I$35)</f>
        <v>0</v>
      </c>
      <c r="AU25" s="33">
        <f>AT25*(1+'Green+Social Interface'!$I$35)</f>
        <v>0</v>
      </c>
      <c r="AV25" s="33">
        <f>AU25*(1+'Green+Social Interface'!$I$35)</f>
        <v>0</v>
      </c>
      <c r="AW25" s="33">
        <f>AV25*(1+'Green+Social Interface'!$I$35)</f>
        <v>0</v>
      </c>
      <c r="AX25" s="33">
        <f>AW25*(1+'Green+Social Interface'!$I$35)</f>
        <v>0</v>
      </c>
      <c r="AY25" s="33">
        <f>AX25*(1+'Green+Social Interface'!$I$35)</f>
        <v>0</v>
      </c>
      <c r="AZ25" s="33">
        <f>AY25*(1+'Green+Social Interface'!$I$35)</f>
        <v>0</v>
      </c>
      <c r="BA25" s="33">
        <f>AZ25*(1+'Green+Social Interface'!$I$35)</f>
        <v>0</v>
      </c>
    </row>
    <row r="26" spans="1:54" x14ac:dyDescent="0.25">
      <c r="A26" s="118"/>
      <c r="B26" s="24"/>
      <c r="C26" s="25" t="s">
        <v>8</v>
      </c>
      <c r="D26" s="25" t="s">
        <v>70</v>
      </c>
      <c r="E26" s="26">
        <f>IF('Green+Social Interface'!T21&gt;0,(0.535*(Q90-(S90))*52)-(0.375*(Q90-(S90))*52),0)</f>
        <v>0</v>
      </c>
      <c r="F26" s="18">
        <f>E26*VLOOKUP('Green+Social Interface'!$I$38,'Look-ups'!$A$15:$B$43,2,0)</f>
        <v>0</v>
      </c>
      <c r="G26" s="27">
        <v>0.3</v>
      </c>
      <c r="H26" s="27">
        <f>IF(H142&gt;0,'Green+Social Interface'!$T$21*(1-($H$136/$H$142)),0)</f>
        <v>0</v>
      </c>
      <c r="I26" s="21">
        <f>1-('Green+Social Interface'!$O$11)</f>
        <v>0.97499999999999998</v>
      </c>
      <c r="J26" s="22"/>
      <c r="K26" s="32">
        <f t="shared" si="3"/>
        <v>0</v>
      </c>
      <c r="L26" s="32">
        <f t="shared" si="4"/>
        <v>0</v>
      </c>
      <c r="M26" s="152">
        <f t="shared" si="5"/>
        <v>0</v>
      </c>
      <c r="N26" s="33">
        <f t="shared" si="6"/>
        <v>0</v>
      </c>
      <c r="O26" s="33">
        <f>N26*(1+'Green+Social Interface'!$I$35)</f>
        <v>0</v>
      </c>
      <c r="P26" s="33">
        <f>O26*(1+'Green+Social Interface'!$I$35)</f>
        <v>0</v>
      </c>
      <c r="Q26" s="33">
        <f>P26*(1+'Green+Social Interface'!$I$35)</f>
        <v>0</v>
      </c>
      <c r="R26" s="33">
        <f>Q26*(1+'Green+Social Interface'!$I$35)</f>
        <v>0</v>
      </c>
      <c r="S26" s="33">
        <f>R26*(1+'Green+Social Interface'!$I$35)</f>
        <v>0</v>
      </c>
      <c r="T26" s="33">
        <f>S26*(1+'Green+Social Interface'!$I$35)</f>
        <v>0</v>
      </c>
      <c r="U26" s="33">
        <f>T26*(1+'Green+Social Interface'!$I$35)</f>
        <v>0</v>
      </c>
      <c r="V26" s="33">
        <f>U26*(1+'Green+Social Interface'!$I$35)</f>
        <v>0</v>
      </c>
      <c r="W26" s="33">
        <f>V26*(1+'Green+Social Interface'!$I$35)</f>
        <v>0</v>
      </c>
      <c r="X26" s="33">
        <f>W26*(1+'Green+Social Interface'!$I$35)</f>
        <v>0</v>
      </c>
      <c r="Y26" s="33">
        <f>X26*(1+'Green+Social Interface'!$I$35)</f>
        <v>0</v>
      </c>
      <c r="Z26" s="33">
        <f>Y26*(1+'Green+Social Interface'!$I$35)</f>
        <v>0</v>
      </c>
      <c r="AA26" s="33">
        <f>Z26*(1+'Green+Social Interface'!$I$35)</f>
        <v>0</v>
      </c>
      <c r="AB26" s="33">
        <f>AA26*(1+'Green+Social Interface'!$I$35)</f>
        <v>0</v>
      </c>
      <c r="AC26" s="33">
        <f>AB26*(1+'Green+Social Interface'!$I$35)</f>
        <v>0</v>
      </c>
      <c r="AD26" s="33">
        <f>AC26*(1+'Green+Social Interface'!$I$35)</f>
        <v>0</v>
      </c>
      <c r="AE26" s="33">
        <f>AD26*(1+'Green+Social Interface'!$I$35)</f>
        <v>0</v>
      </c>
      <c r="AF26" s="33">
        <f>AE26*(1+'Green+Social Interface'!$I$35)</f>
        <v>0</v>
      </c>
      <c r="AG26" s="33">
        <f>AF26*(1+'Green+Social Interface'!$I$35)</f>
        <v>0</v>
      </c>
      <c r="AH26" s="33">
        <f>AG26*(1+'Green+Social Interface'!$I$35)</f>
        <v>0</v>
      </c>
      <c r="AI26" s="33">
        <f>AH26*(1+'Green+Social Interface'!$I$35)</f>
        <v>0</v>
      </c>
      <c r="AJ26" s="33">
        <f>AI26*(1+'Green+Social Interface'!$I$35)</f>
        <v>0</v>
      </c>
      <c r="AK26" s="33">
        <f>AJ26*(1+'Green+Social Interface'!$I$35)</f>
        <v>0</v>
      </c>
      <c r="AL26" s="33">
        <f>AK26*(1+'Green+Social Interface'!$I$35)</f>
        <v>0</v>
      </c>
      <c r="AM26" s="33">
        <f>AL26*(1+'Green+Social Interface'!$I$35)</f>
        <v>0</v>
      </c>
      <c r="AN26" s="33">
        <f>AM26*(1+'Green+Social Interface'!$I$35)</f>
        <v>0</v>
      </c>
      <c r="AO26" s="33">
        <f>AN26*(1+'Green+Social Interface'!$I$35)</f>
        <v>0</v>
      </c>
      <c r="AP26" s="33">
        <f>AO26*(1+'Green+Social Interface'!$I$35)</f>
        <v>0</v>
      </c>
      <c r="AQ26" s="33">
        <f>AP26*(1+'Green+Social Interface'!$I$35)</f>
        <v>0</v>
      </c>
      <c r="AR26" s="33">
        <f>AQ26*(1+'Green+Social Interface'!$I$35)</f>
        <v>0</v>
      </c>
      <c r="AS26" s="33">
        <f>AR26*(1+'Green+Social Interface'!$I$35)</f>
        <v>0</v>
      </c>
      <c r="AT26" s="33">
        <f>AS26*(1+'Green+Social Interface'!$I$35)</f>
        <v>0</v>
      </c>
      <c r="AU26" s="33">
        <f>AT26*(1+'Green+Social Interface'!$I$35)</f>
        <v>0</v>
      </c>
      <c r="AV26" s="33">
        <f>AU26*(1+'Green+Social Interface'!$I$35)</f>
        <v>0</v>
      </c>
      <c r="AW26" s="33">
        <f>AV26*(1+'Green+Social Interface'!$I$35)</f>
        <v>0</v>
      </c>
      <c r="AX26" s="33">
        <f>AW26*(1+'Green+Social Interface'!$I$35)</f>
        <v>0</v>
      </c>
      <c r="AY26" s="33">
        <f>AX26*(1+'Green+Social Interface'!$I$35)</f>
        <v>0</v>
      </c>
      <c r="AZ26" s="33">
        <f>AY26*(1+'Green+Social Interface'!$I$35)</f>
        <v>0</v>
      </c>
      <c r="BA26" s="33">
        <f>AZ26*(1+'Green+Social Interface'!$I$35)</f>
        <v>0</v>
      </c>
    </row>
    <row r="27" spans="1:54" x14ac:dyDescent="0.25">
      <c r="A27" s="118"/>
      <c r="B27" s="24"/>
      <c r="C27" s="25" t="s">
        <v>9</v>
      </c>
      <c r="D27" s="25" t="s">
        <v>70</v>
      </c>
      <c r="E27" s="26">
        <f>IF('Green+Social Interface'!T22&gt;0,(0.535*(Q91-(S91))*52)-(0.375*(Q91-(S91))*52),0)</f>
        <v>0</v>
      </c>
      <c r="F27" s="18">
        <f>E27*VLOOKUP('Green+Social Interface'!$I$38,'Look-ups'!$A$15:$B$43,2,0)</f>
        <v>0</v>
      </c>
      <c r="G27" s="27">
        <v>0.3</v>
      </c>
      <c r="H27" s="27">
        <f>IF(H142&gt;0,'Green+Social Interface'!$T$22*(1-($H$136/$H$142)),0)</f>
        <v>0</v>
      </c>
      <c r="I27" s="21">
        <f>1-('Green+Social Interface'!$O$11)</f>
        <v>0.97499999999999998</v>
      </c>
      <c r="J27" s="22"/>
      <c r="K27" s="32">
        <f t="shared" si="3"/>
        <v>0</v>
      </c>
      <c r="L27" s="32">
        <f t="shared" si="4"/>
        <v>0</v>
      </c>
      <c r="M27" s="152">
        <f t="shared" si="5"/>
        <v>0</v>
      </c>
      <c r="N27" s="33">
        <f t="shared" si="6"/>
        <v>0</v>
      </c>
      <c r="O27" s="33">
        <f>N27*(1+'Green+Social Interface'!$I$35)</f>
        <v>0</v>
      </c>
      <c r="P27" s="33">
        <f>O27*(1+'Green+Social Interface'!$I$35)</f>
        <v>0</v>
      </c>
      <c r="Q27" s="33">
        <f>P27*(1+'Green+Social Interface'!$I$35)</f>
        <v>0</v>
      </c>
      <c r="R27" s="33">
        <f>Q27*(1+'Green+Social Interface'!$I$35)</f>
        <v>0</v>
      </c>
      <c r="S27" s="33">
        <f>R27*(1+'Green+Social Interface'!$I$35)</f>
        <v>0</v>
      </c>
      <c r="T27" s="33">
        <f>S27*(1+'Green+Social Interface'!$I$35)</f>
        <v>0</v>
      </c>
      <c r="U27" s="33">
        <f>T27*(1+'Green+Social Interface'!$I$35)</f>
        <v>0</v>
      </c>
      <c r="V27" s="33">
        <f>U27*(1+'Green+Social Interface'!$I$35)</f>
        <v>0</v>
      </c>
      <c r="W27" s="33">
        <f>V27*(1+'Green+Social Interface'!$I$35)</f>
        <v>0</v>
      </c>
      <c r="X27" s="33">
        <f>W27*(1+'Green+Social Interface'!$I$35)</f>
        <v>0</v>
      </c>
      <c r="Y27" s="33">
        <f>X27*(1+'Green+Social Interface'!$I$35)</f>
        <v>0</v>
      </c>
      <c r="Z27" s="33">
        <f>Y27*(1+'Green+Social Interface'!$I$35)</f>
        <v>0</v>
      </c>
      <c r="AA27" s="33">
        <f>Z27*(1+'Green+Social Interface'!$I$35)</f>
        <v>0</v>
      </c>
      <c r="AB27" s="33">
        <f>AA27*(1+'Green+Social Interface'!$I$35)</f>
        <v>0</v>
      </c>
      <c r="AC27" s="33">
        <f>AB27*(1+'Green+Social Interface'!$I$35)</f>
        <v>0</v>
      </c>
      <c r="AD27" s="33">
        <f>AC27*(1+'Green+Social Interface'!$I$35)</f>
        <v>0</v>
      </c>
      <c r="AE27" s="33">
        <f>AD27*(1+'Green+Social Interface'!$I$35)</f>
        <v>0</v>
      </c>
      <c r="AF27" s="33">
        <f>AE27*(1+'Green+Social Interface'!$I$35)</f>
        <v>0</v>
      </c>
      <c r="AG27" s="33">
        <f>AF27*(1+'Green+Social Interface'!$I$35)</f>
        <v>0</v>
      </c>
      <c r="AH27" s="33">
        <f>AG27*(1+'Green+Social Interface'!$I$35)</f>
        <v>0</v>
      </c>
      <c r="AI27" s="33">
        <f>AH27*(1+'Green+Social Interface'!$I$35)</f>
        <v>0</v>
      </c>
      <c r="AJ27" s="33">
        <f>AI27*(1+'Green+Social Interface'!$I$35)</f>
        <v>0</v>
      </c>
      <c r="AK27" s="33">
        <f>AJ27*(1+'Green+Social Interface'!$I$35)</f>
        <v>0</v>
      </c>
      <c r="AL27" s="33">
        <f>AK27*(1+'Green+Social Interface'!$I$35)</f>
        <v>0</v>
      </c>
      <c r="AM27" s="33">
        <f>AL27*(1+'Green+Social Interface'!$I$35)</f>
        <v>0</v>
      </c>
      <c r="AN27" s="33">
        <f>AM27*(1+'Green+Social Interface'!$I$35)</f>
        <v>0</v>
      </c>
      <c r="AO27" s="33">
        <f>AN27*(1+'Green+Social Interface'!$I$35)</f>
        <v>0</v>
      </c>
      <c r="AP27" s="33">
        <f>AO27*(1+'Green+Social Interface'!$I$35)</f>
        <v>0</v>
      </c>
      <c r="AQ27" s="33">
        <f>AP27*(1+'Green+Social Interface'!$I$35)</f>
        <v>0</v>
      </c>
      <c r="AR27" s="33">
        <f>AQ27*(1+'Green+Social Interface'!$I$35)</f>
        <v>0</v>
      </c>
      <c r="AS27" s="33">
        <f>AR27*(1+'Green+Social Interface'!$I$35)</f>
        <v>0</v>
      </c>
      <c r="AT27" s="33">
        <f>AS27*(1+'Green+Social Interface'!$I$35)</f>
        <v>0</v>
      </c>
      <c r="AU27" s="33">
        <f>AT27*(1+'Green+Social Interface'!$I$35)</f>
        <v>0</v>
      </c>
      <c r="AV27" s="33">
        <f>AU27*(1+'Green+Social Interface'!$I$35)</f>
        <v>0</v>
      </c>
      <c r="AW27" s="33">
        <f>AV27*(1+'Green+Social Interface'!$I$35)</f>
        <v>0</v>
      </c>
      <c r="AX27" s="33">
        <f>AW27*(1+'Green+Social Interface'!$I$35)</f>
        <v>0</v>
      </c>
      <c r="AY27" s="33">
        <f>AX27*(1+'Green+Social Interface'!$I$35)</f>
        <v>0</v>
      </c>
      <c r="AZ27" s="33">
        <f>AY27*(1+'Green+Social Interface'!$I$35)</f>
        <v>0</v>
      </c>
      <c r="BA27" s="33">
        <f>AZ27*(1+'Green+Social Interface'!$I$35)</f>
        <v>0</v>
      </c>
    </row>
    <row r="28" spans="1:54" x14ac:dyDescent="0.25">
      <c r="A28" s="118" t="s">
        <v>109</v>
      </c>
      <c r="B28" s="24" t="s">
        <v>135</v>
      </c>
      <c r="C28" s="25" t="s">
        <v>6</v>
      </c>
      <c r="D28" s="25" t="s">
        <v>70</v>
      </c>
      <c r="E28" s="26">
        <f>IF('Green+Social Interface'!O18&gt;0,(0.535*(Q93-(S93))*52)-(0.375*(Q93-(S93))*52),0)</f>
        <v>0</v>
      </c>
      <c r="F28" s="18">
        <f>E28*VLOOKUP('Green+Social Interface'!$I$38,'Look-ups'!$A$15:$B$43,2,0)</f>
        <v>0</v>
      </c>
      <c r="G28" s="27">
        <v>0.3</v>
      </c>
      <c r="H28" s="27">
        <f>IF(H142&gt;0,'Green+Social Interface'!$O$18*(1-($H$136/$H$142)),0)</f>
        <v>0</v>
      </c>
      <c r="I28" s="21">
        <f>1-('Green+Social Interface'!$O$11)</f>
        <v>0.97499999999999998</v>
      </c>
      <c r="J28" s="22"/>
      <c r="K28" s="32">
        <f t="shared" si="3"/>
        <v>0</v>
      </c>
      <c r="L28" s="32">
        <f t="shared" si="4"/>
        <v>0</v>
      </c>
      <c r="M28" s="152">
        <f t="shared" si="5"/>
        <v>0</v>
      </c>
      <c r="N28" s="33">
        <f t="shared" si="6"/>
        <v>0</v>
      </c>
      <c r="O28" s="33">
        <f>N28*(1+'Green+Social Interface'!$I$35)</f>
        <v>0</v>
      </c>
      <c r="P28" s="33">
        <f>O28*(1+'Green+Social Interface'!$I$35)</f>
        <v>0</v>
      </c>
      <c r="Q28" s="33">
        <f>P28*(1+'Green+Social Interface'!$I$35)</f>
        <v>0</v>
      </c>
      <c r="R28" s="33">
        <f>Q28*(1+'Green+Social Interface'!$I$35)</f>
        <v>0</v>
      </c>
      <c r="S28" s="33">
        <f>R28*(1+'Green+Social Interface'!$I$35)</f>
        <v>0</v>
      </c>
      <c r="T28" s="33">
        <f>S28*(1+'Green+Social Interface'!$I$35)</f>
        <v>0</v>
      </c>
      <c r="U28" s="33">
        <f>T28*(1+'Green+Social Interface'!$I$35)</f>
        <v>0</v>
      </c>
      <c r="V28" s="33">
        <f>U28*(1+'Green+Social Interface'!$I$35)</f>
        <v>0</v>
      </c>
      <c r="W28" s="33">
        <f>V28*(1+'Green+Social Interface'!$I$35)</f>
        <v>0</v>
      </c>
      <c r="X28" s="33">
        <f>W28*(1+'Green+Social Interface'!$I$35)</f>
        <v>0</v>
      </c>
      <c r="Y28" s="33">
        <f>X28*(1+'Green+Social Interface'!$I$35)</f>
        <v>0</v>
      </c>
      <c r="Z28" s="33">
        <f>Y28*(1+'Green+Social Interface'!$I$35)</f>
        <v>0</v>
      </c>
      <c r="AA28" s="33">
        <f>Z28*(1+'Green+Social Interface'!$I$35)</f>
        <v>0</v>
      </c>
      <c r="AB28" s="33">
        <f>AA28*(1+'Green+Social Interface'!$I$35)</f>
        <v>0</v>
      </c>
      <c r="AC28" s="33">
        <f>AB28*(1+'Green+Social Interface'!$I$35)</f>
        <v>0</v>
      </c>
      <c r="AD28" s="33">
        <f>AC28*(1+'Green+Social Interface'!$I$35)</f>
        <v>0</v>
      </c>
      <c r="AE28" s="33">
        <f>AD28*(1+'Green+Social Interface'!$I$35)</f>
        <v>0</v>
      </c>
      <c r="AF28" s="33">
        <f>AE28*(1+'Green+Social Interface'!$I$35)</f>
        <v>0</v>
      </c>
      <c r="AG28" s="33">
        <f>AF28*(1+'Green+Social Interface'!$I$35)</f>
        <v>0</v>
      </c>
      <c r="AH28" s="33">
        <f>AG28*(1+'Green+Social Interface'!$I$35)</f>
        <v>0</v>
      </c>
      <c r="AI28" s="33">
        <f>AH28*(1+'Green+Social Interface'!$I$35)</f>
        <v>0</v>
      </c>
      <c r="AJ28" s="33">
        <f>AI28*(1+'Green+Social Interface'!$I$35)</f>
        <v>0</v>
      </c>
      <c r="AK28" s="33">
        <f>AJ28*(1+'Green+Social Interface'!$I$35)</f>
        <v>0</v>
      </c>
      <c r="AL28" s="33">
        <f>AK28*(1+'Green+Social Interface'!$I$35)</f>
        <v>0</v>
      </c>
      <c r="AM28" s="33">
        <f>AL28*(1+'Green+Social Interface'!$I$35)</f>
        <v>0</v>
      </c>
      <c r="AN28" s="33">
        <f>AM28*(1+'Green+Social Interface'!$I$35)</f>
        <v>0</v>
      </c>
      <c r="AO28" s="33">
        <f>AN28*(1+'Green+Social Interface'!$I$35)</f>
        <v>0</v>
      </c>
      <c r="AP28" s="33">
        <f>AO28*(1+'Green+Social Interface'!$I$35)</f>
        <v>0</v>
      </c>
      <c r="AQ28" s="33">
        <f>AP28*(1+'Green+Social Interface'!$I$35)</f>
        <v>0</v>
      </c>
      <c r="AR28" s="33">
        <f>AQ28*(1+'Green+Social Interface'!$I$35)</f>
        <v>0</v>
      </c>
      <c r="AS28" s="33">
        <f>AR28*(1+'Green+Social Interface'!$I$35)</f>
        <v>0</v>
      </c>
      <c r="AT28" s="33">
        <f>AS28*(1+'Green+Social Interface'!$I$35)</f>
        <v>0</v>
      </c>
      <c r="AU28" s="33">
        <f>AT28*(1+'Green+Social Interface'!$I$35)</f>
        <v>0</v>
      </c>
      <c r="AV28" s="33">
        <f>AU28*(1+'Green+Social Interface'!$I$35)</f>
        <v>0</v>
      </c>
      <c r="AW28" s="33">
        <f>AV28*(1+'Green+Social Interface'!$I$35)</f>
        <v>0</v>
      </c>
      <c r="AX28" s="33">
        <f>AW28*(1+'Green+Social Interface'!$I$35)</f>
        <v>0</v>
      </c>
      <c r="AY28" s="33">
        <f>AX28*(1+'Green+Social Interface'!$I$35)</f>
        <v>0</v>
      </c>
      <c r="AZ28" s="33">
        <f>AY28*(1+'Green+Social Interface'!$I$35)</f>
        <v>0</v>
      </c>
      <c r="BA28" s="33">
        <f>AZ28*(1+'Green+Social Interface'!$I$35)</f>
        <v>0</v>
      </c>
    </row>
    <row r="29" spans="1:54" x14ac:dyDescent="0.25">
      <c r="B29" s="24"/>
      <c r="C29" s="25" t="s">
        <v>7</v>
      </c>
      <c r="D29" s="25" t="s">
        <v>70</v>
      </c>
      <c r="E29" s="26">
        <f>IF('Green+Social Interface'!O19&gt;0,(0.535*(Q94-(S94))*52)-(0.375*(Q94-(S94))*52),0)</f>
        <v>0</v>
      </c>
      <c r="F29" s="18">
        <f>E29*VLOOKUP('Green+Social Interface'!$I$38,'Look-ups'!$A$15:$B$43,2,0)</f>
        <v>0</v>
      </c>
      <c r="G29" s="27">
        <v>0.3</v>
      </c>
      <c r="H29" s="27">
        <f>IF(H142&gt;0,'Green+Social Interface'!$O$19*(1-($H$136/$H$142)),0)</f>
        <v>0</v>
      </c>
      <c r="I29" s="21">
        <f>1-('Green+Social Interface'!$O$11)</f>
        <v>0.97499999999999998</v>
      </c>
      <c r="J29" s="22"/>
      <c r="K29" s="32">
        <f t="shared" si="3"/>
        <v>0</v>
      </c>
      <c r="L29" s="32">
        <f t="shared" si="4"/>
        <v>0</v>
      </c>
      <c r="M29" s="152">
        <f t="shared" si="5"/>
        <v>0</v>
      </c>
      <c r="N29" s="33">
        <f t="shared" si="6"/>
        <v>0</v>
      </c>
      <c r="O29" s="33">
        <f>N29*(1+'Green+Social Interface'!$I$35)</f>
        <v>0</v>
      </c>
      <c r="P29" s="33">
        <f>O29*(1+'Green+Social Interface'!$I$35)</f>
        <v>0</v>
      </c>
      <c r="Q29" s="33">
        <f>P29*(1+'Green+Social Interface'!$I$35)</f>
        <v>0</v>
      </c>
      <c r="R29" s="33">
        <f>Q29*(1+'Green+Social Interface'!$I$35)</f>
        <v>0</v>
      </c>
      <c r="S29" s="33">
        <f>R29*(1+'Green+Social Interface'!$I$35)</f>
        <v>0</v>
      </c>
      <c r="T29" s="33">
        <f>S29*(1+'Green+Social Interface'!$I$35)</f>
        <v>0</v>
      </c>
      <c r="U29" s="33">
        <f>T29*(1+'Green+Social Interface'!$I$35)</f>
        <v>0</v>
      </c>
      <c r="V29" s="33">
        <f>U29*(1+'Green+Social Interface'!$I$35)</f>
        <v>0</v>
      </c>
      <c r="W29" s="33">
        <f>V29*(1+'Green+Social Interface'!$I$35)</f>
        <v>0</v>
      </c>
      <c r="X29" s="33">
        <f>W29*(1+'Green+Social Interface'!$I$35)</f>
        <v>0</v>
      </c>
      <c r="Y29" s="33">
        <f>X29*(1+'Green+Social Interface'!$I$35)</f>
        <v>0</v>
      </c>
      <c r="Z29" s="33">
        <f>Y29*(1+'Green+Social Interface'!$I$35)</f>
        <v>0</v>
      </c>
      <c r="AA29" s="33">
        <f>Z29*(1+'Green+Social Interface'!$I$35)</f>
        <v>0</v>
      </c>
      <c r="AB29" s="33">
        <f>AA29*(1+'Green+Social Interface'!$I$35)</f>
        <v>0</v>
      </c>
      <c r="AC29" s="33">
        <f>AB29*(1+'Green+Social Interface'!$I$35)</f>
        <v>0</v>
      </c>
      <c r="AD29" s="33">
        <f>AC29*(1+'Green+Social Interface'!$I$35)</f>
        <v>0</v>
      </c>
      <c r="AE29" s="33">
        <f>AD29*(1+'Green+Social Interface'!$I$35)</f>
        <v>0</v>
      </c>
      <c r="AF29" s="33">
        <f>AE29*(1+'Green+Social Interface'!$I$35)</f>
        <v>0</v>
      </c>
      <c r="AG29" s="33">
        <f>AF29*(1+'Green+Social Interface'!$I$35)</f>
        <v>0</v>
      </c>
      <c r="AH29" s="33">
        <f>AG29*(1+'Green+Social Interface'!$I$35)</f>
        <v>0</v>
      </c>
      <c r="AI29" s="33">
        <f>AH29*(1+'Green+Social Interface'!$I$35)</f>
        <v>0</v>
      </c>
      <c r="AJ29" s="33">
        <f>AI29*(1+'Green+Social Interface'!$I$35)</f>
        <v>0</v>
      </c>
      <c r="AK29" s="33">
        <f>AJ29*(1+'Green+Social Interface'!$I$35)</f>
        <v>0</v>
      </c>
      <c r="AL29" s="33">
        <f>AK29*(1+'Green+Social Interface'!$I$35)</f>
        <v>0</v>
      </c>
      <c r="AM29" s="33">
        <f>AL29*(1+'Green+Social Interface'!$I$35)</f>
        <v>0</v>
      </c>
      <c r="AN29" s="33">
        <f>AM29*(1+'Green+Social Interface'!$I$35)</f>
        <v>0</v>
      </c>
      <c r="AO29" s="33">
        <f>AN29*(1+'Green+Social Interface'!$I$35)</f>
        <v>0</v>
      </c>
      <c r="AP29" s="33">
        <f>AO29*(1+'Green+Social Interface'!$I$35)</f>
        <v>0</v>
      </c>
      <c r="AQ29" s="33">
        <f>AP29*(1+'Green+Social Interface'!$I$35)</f>
        <v>0</v>
      </c>
      <c r="AR29" s="33">
        <f>AQ29*(1+'Green+Social Interface'!$I$35)</f>
        <v>0</v>
      </c>
      <c r="AS29" s="33">
        <f>AR29*(1+'Green+Social Interface'!$I$35)</f>
        <v>0</v>
      </c>
      <c r="AT29" s="33">
        <f>AS29*(1+'Green+Social Interface'!$I$35)</f>
        <v>0</v>
      </c>
      <c r="AU29" s="33">
        <f>AT29*(1+'Green+Social Interface'!$I$35)</f>
        <v>0</v>
      </c>
      <c r="AV29" s="33">
        <f>AU29*(1+'Green+Social Interface'!$I$35)</f>
        <v>0</v>
      </c>
      <c r="AW29" s="33">
        <f>AV29*(1+'Green+Social Interface'!$I$35)</f>
        <v>0</v>
      </c>
      <c r="AX29" s="33">
        <f>AW29*(1+'Green+Social Interface'!$I$35)</f>
        <v>0</v>
      </c>
      <c r="AY29" s="33">
        <f>AX29*(1+'Green+Social Interface'!$I$35)</f>
        <v>0</v>
      </c>
      <c r="AZ29" s="33">
        <f>AY29*(1+'Green+Social Interface'!$I$35)</f>
        <v>0</v>
      </c>
      <c r="BA29" s="33">
        <f>AZ29*(1+'Green+Social Interface'!$I$35)</f>
        <v>0</v>
      </c>
    </row>
    <row r="30" spans="1:54" x14ac:dyDescent="0.25">
      <c r="B30" s="24"/>
      <c r="C30" s="25" t="s">
        <v>8</v>
      </c>
      <c r="D30" s="25" t="s">
        <v>70</v>
      </c>
      <c r="E30" s="26">
        <f>IF('Green+Social Interface'!O20&gt;0,(0.535*(Q95-(S95))*52)-(0.375*(Q95-(S95))*52),0)</f>
        <v>0</v>
      </c>
      <c r="F30" s="18">
        <f>E30*VLOOKUP('Green+Social Interface'!$I$38,'Look-ups'!$A$15:$B$43,2,0)</f>
        <v>0</v>
      </c>
      <c r="G30" s="27">
        <v>0.3</v>
      </c>
      <c r="H30" s="27">
        <f>IF(H142&gt;0,'Green+Social Interface'!$O$20*(1-($H$136/$H$142)),0)</f>
        <v>0</v>
      </c>
      <c r="I30" s="21">
        <f>1-('Green+Social Interface'!$O$11)</f>
        <v>0.97499999999999998</v>
      </c>
      <c r="J30" s="22"/>
      <c r="K30" s="32">
        <f t="shared" si="3"/>
        <v>0</v>
      </c>
      <c r="L30" s="32">
        <f t="shared" si="4"/>
        <v>0</v>
      </c>
      <c r="M30" s="152">
        <f t="shared" si="5"/>
        <v>0</v>
      </c>
      <c r="N30" s="33">
        <f t="shared" si="6"/>
        <v>0</v>
      </c>
      <c r="O30" s="33">
        <f>N30*(1+'Green+Social Interface'!$I$35)</f>
        <v>0</v>
      </c>
      <c r="P30" s="33">
        <f>O30*(1+'Green+Social Interface'!$I$35)</f>
        <v>0</v>
      </c>
      <c r="Q30" s="33">
        <f>P30*(1+'Green+Social Interface'!$I$35)</f>
        <v>0</v>
      </c>
      <c r="R30" s="33">
        <f>Q30*(1+'Green+Social Interface'!$I$35)</f>
        <v>0</v>
      </c>
      <c r="S30" s="33">
        <f>R30*(1+'Green+Social Interface'!$I$35)</f>
        <v>0</v>
      </c>
      <c r="T30" s="33">
        <f>S30*(1+'Green+Social Interface'!$I$35)</f>
        <v>0</v>
      </c>
      <c r="U30" s="33">
        <f>T30*(1+'Green+Social Interface'!$I$35)</f>
        <v>0</v>
      </c>
      <c r="V30" s="33">
        <f>U30*(1+'Green+Social Interface'!$I$35)</f>
        <v>0</v>
      </c>
      <c r="W30" s="33">
        <f>V30*(1+'Green+Social Interface'!$I$35)</f>
        <v>0</v>
      </c>
      <c r="X30" s="33">
        <f>W30*(1+'Green+Social Interface'!$I$35)</f>
        <v>0</v>
      </c>
      <c r="Y30" s="33">
        <f>X30*(1+'Green+Social Interface'!$I$35)</f>
        <v>0</v>
      </c>
      <c r="Z30" s="33">
        <f>Y30*(1+'Green+Social Interface'!$I$35)</f>
        <v>0</v>
      </c>
      <c r="AA30" s="33">
        <f>Z30*(1+'Green+Social Interface'!$I$35)</f>
        <v>0</v>
      </c>
      <c r="AB30" s="33">
        <f>AA30*(1+'Green+Social Interface'!$I$35)</f>
        <v>0</v>
      </c>
      <c r="AC30" s="33">
        <f>AB30*(1+'Green+Social Interface'!$I$35)</f>
        <v>0</v>
      </c>
      <c r="AD30" s="33">
        <f>AC30*(1+'Green+Social Interface'!$I$35)</f>
        <v>0</v>
      </c>
      <c r="AE30" s="33">
        <f>AD30*(1+'Green+Social Interface'!$I$35)</f>
        <v>0</v>
      </c>
      <c r="AF30" s="33">
        <f>AE30*(1+'Green+Social Interface'!$I$35)</f>
        <v>0</v>
      </c>
      <c r="AG30" s="33">
        <f>AF30*(1+'Green+Social Interface'!$I$35)</f>
        <v>0</v>
      </c>
      <c r="AH30" s="33">
        <f>AG30*(1+'Green+Social Interface'!$I$35)</f>
        <v>0</v>
      </c>
      <c r="AI30" s="33">
        <f>AH30*(1+'Green+Social Interface'!$I$35)</f>
        <v>0</v>
      </c>
      <c r="AJ30" s="33">
        <f>AI30*(1+'Green+Social Interface'!$I$35)</f>
        <v>0</v>
      </c>
      <c r="AK30" s="33">
        <f>AJ30*(1+'Green+Social Interface'!$I$35)</f>
        <v>0</v>
      </c>
      <c r="AL30" s="33">
        <f>AK30*(1+'Green+Social Interface'!$I$35)</f>
        <v>0</v>
      </c>
      <c r="AM30" s="33">
        <f>AL30*(1+'Green+Social Interface'!$I$35)</f>
        <v>0</v>
      </c>
      <c r="AN30" s="33">
        <f>AM30*(1+'Green+Social Interface'!$I$35)</f>
        <v>0</v>
      </c>
      <c r="AO30" s="33">
        <f>AN30*(1+'Green+Social Interface'!$I$35)</f>
        <v>0</v>
      </c>
      <c r="AP30" s="33">
        <f>AO30*(1+'Green+Social Interface'!$I$35)</f>
        <v>0</v>
      </c>
      <c r="AQ30" s="33">
        <f>AP30*(1+'Green+Social Interface'!$I$35)</f>
        <v>0</v>
      </c>
      <c r="AR30" s="33">
        <f>AQ30*(1+'Green+Social Interface'!$I$35)</f>
        <v>0</v>
      </c>
      <c r="AS30" s="33">
        <f>AR30*(1+'Green+Social Interface'!$I$35)</f>
        <v>0</v>
      </c>
      <c r="AT30" s="33">
        <f>AS30*(1+'Green+Social Interface'!$I$35)</f>
        <v>0</v>
      </c>
      <c r="AU30" s="33">
        <f>AT30*(1+'Green+Social Interface'!$I$35)</f>
        <v>0</v>
      </c>
      <c r="AV30" s="33">
        <f>AU30*(1+'Green+Social Interface'!$I$35)</f>
        <v>0</v>
      </c>
      <c r="AW30" s="33">
        <f>AV30*(1+'Green+Social Interface'!$I$35)</f>
        <v>0</v>
      </c>
      <c r="AX30" s="33">
        <f>AW30*(1+'Green+Social Interface'!$I$35)</f>
        <v>0</v>
      </c>
      <c r="AY30" s="33">
        <f>AX30*(1+'Green+Social Interface'!$I$35)</f>
        <v>0</v>
      </c>
      <c r="AZ30" s="33">
        <f>AY30*(1+'Green+Social Interface'!$I$35)</f>
        <v>0</v>
      </c>
      <c r="BA30" s="33">
        <f>AZ30*(1+'Green+Social Interface'!$I$35)</f>
        <v>0</v>
      </c>
    </row>
    <row r="31" spans="1:54" x14ac:dyDescent="0.25">
      <c r="B31" s="24"/>
      <c r="C31" s="25" t="s">
        <v>9</v>
      </c>
      <c r="D31" s="25" t="s">
        <v>70</v>
      </c>
      <c r="E31" s="26">
        <f>IF('Green+Social Interface'!O21&gt;0,(0.535*(Q96-(S96))*52)-(0.375*(Q96-(S96))*52),0)</f>
        <v>0</v>
      </c>
      <c r="F31" s="18">
        <f>E31*VLOOKUP('Green+Social Interface'!$I$38,'Look-ups'!$A$15:$B$43,2,0)</f>
        <v>0</v>
      </c>
      <c r="G31" s="27">
        <v>0.3</v>
      </c>
      <c r="H31" s="27">
        <f>IF(H142&gt;0,'Green+Social Interface'!$O$21*(1-($H$136/$H$142)),0)</f>
        <v>0</v>
      </c>
      <c r="I31" s="21">
        <f>1-('Green+Social Interface'!$O$11)</f>
        <v>0.97499999999999998</v>
      </c>
      <c r="J31" s="22"/>
      <c r="K31" s="32">
        <f t="shared" si="3"/>
        <v>0</v>
      </c>
      <c r="L31" s="32">
        <f t="shared" si="4"/>
        <v>0</v>
      </c>
      <c r="M31" s="152">
        <f t="shared" si="5"/>
        <v>0</v>
      </c>
      <c r="N31" s="33">
        <f t="shared" si="6"/>
        <v>0</v>
      </c>
      <c r="O31" s="33">
        <f>N31*(1+'Green+Social Interface'!$I$35)</f>
        <v>0</v>
      </c>
      <c r="P31" s="33">
        <f>O31*(1+'Green+Social Interface'!$I$35)</f>
        <v>0</v>
      </c>
      <c r="Q31" s="33">
        <f>P31*(1+'Green+Social Interface'!$I$35)</f>
        <v>0</v>
      </c>
      <c r="R31" s="33">
        <f>Q31*(1+'Green+Social Interface'!$I$35)</f>
        <v>0</v>
      </c>
      <c r="S31" s="33">
        <f>R31*(1+'Green+Social Interface'!$I$35)</f>
        <v>0</v>
      </c>
      <c r="T31" s="33">
        <f>S31*(1+'Green+Social Interface'!$I$35)</f>
        <v>0</v>
      </c>
      <c r="U31" s="33">
        <f>T31*(1+'Green+Social Interface'!$I$35)</f>
        <v>0</v>
      </c>
      <c r="V31" s="33">
        <f>U31*(1+'Green+Social Interface'!$I$35)</f>
        <v>0</v>
      </c>
      <c r="W31" s="33">
        <f>V31*(1+'Green+Social Interface'!$I$35)</f>
        <v>0</v>
      </c>
      <c r="X31" s="33">
        <f>W31*(1+'Green+Social Interface'!$I$35)</f>
        <v>0</v>
      </c>
      <c r="Y31" s="33">
        <f>X31*(1+'Green+Social Interface'!$I$35)</f>
        <v>0</v>
      </c>
      <c r="Z31" s="33">
        <f>Y31*(1+'Green+Social Interface'!$I$35)</f>
        <v>0</v>
      </c>
      <c r="AA31" s="33">
        <f>Z31*(1+'Green+Social Interface'!$I$35)</f>
        <v>0</v>
      </c>
      <c r="AB31" s="33">
        <f>AA31*(1+'Green+Social Interface'!$I$35)</f>
        <v>0</v>
      </c>
      <c r="AC31" s="33">
        <f>AB31*(1+'Green+Social Interface'!$I$35)</f>
        <v>0</v>
      </c>
      <c r="AD31" s="33">
        <f>AC31*(1+'Green+Social Interface'!$I$35)</f>
        <v>0</v>
      </c>
      <c r="AE31" s="33">
        <f>AD31*(1+'Green+Social Interface'!$I$35)</f>
        <v>0</v>
      </c>
      <c r="AF31" s="33">
        <f>AE31*(1+'Green+Social Interface'!$I$35)</f>
        <v>0</v>
      </c>
      <c r="AG31" s="33">
        <f>AF31*(1+'Green+Social Interface'!$I$35)</f>
        <v>0</v>
      </c>
      <c r="AH31" s="33">
        <f>AG31*(1+'Green+Social Interface'!$I$35)</f>
        <v>0</v>
      </c>
      <c r="AI31" s="33">
        <f>AH31*(1+'Green+Social Interface'!$I$35)</f>
        <v>0</v>
      </c>
      <c r="AJ31" s="33">
        <f>AI31*(1+'Green+Social Interface'!$I$35)</f>
        <v>0</v>
      </c>
      <c r="AK31" s="33">
        <f>AJ31*(1+'Green+Social Interface'!$I$35)</f>
        <v>0</v>
      </c>
      <c r="AL31" s="33">
        <f>AK31*(1+'Green+Social Interface'!$I$35)</f>
        <v>0</v>
      </c>
      <c r="AM31" s="33">
        <f>AL31*(1+'Green+Social Interface'!$I$35)</f>
        <v>0</v>
      </c>
      <c r="AN31" s="33">
        <f>AM31*(1+'Green+Social Interface'!$I$35)</f>
        <v>0</v>
      </c>
      <c r="AO31" s="33">
        <f>AN31*(1+'Green+Social Interface'!$I$35)</f>
        <v>0</v>
      </c>
      <c r="AP31" s="33">
        <f>AO31*(1+'Green+Social Interface'!$I$35)</f>
        <v>0</v>
      </c>
      <c r="AQ31" s="33">
        <f>AP31*(1+'Green+Social Interface'!$I$35)</f>
        <v>0</v>
      </c>
      <c r="AR31" s="33">
        <f>AQ31*(1+'Green+Social Interface'!$I$35)</f>
        <v>0</v>
      </c>
      <c r="AS31" s="33">
        <f>AR31*(1+'Green+Social Interface'!$I$35)</f>
        <v>0</v>
      </c>
      <c r="AT31" s="33">
        <f>AS31*(1+'Green+Social Interface'!$I$35)</f>
        <v>0</v>
      </c>
      <c r="AU31" s="33">
        <f>AT31*(1+'Green+Social Interface'!$I$35)</f>
        <v>0</v>
      </c>
      <c r="AV31" s="33">
        <f>AU31*(1+'Green+Social Interface'!$I$35)</f>
        <v>0</v>
      </c>
      <c r="AW31" s="33">
        <f>AV31*(1+'Green+Social Interface'!$I$35)</f>
        <v>0</v>
      </c>
      <c r="AX31" s="33">
        <f>AW31*(1+'Green+Social Interface'!$I$35)</f>
        <v>0</v>
      </c>
      <c r="AY31" s="33">
        <f>AX31*(1+'Green+Social Interface'!$I$35)</f>
        <v>0</v>
      </c>
      <c r="AZ31" s="33">
        <f>AY31*(1+'Green+Social Interface'!$I$35)</f>
        <v>0</v>
      </c>
      <c r="BA31" s="33">
        <f>AZ31*(1+'Green+Social Interface'!$I$35)</f>
        <v>0</v>
      </c>
    </row>
    <row r="32" spans="1:54" x14ac:dyDescent="0.25">
      <c r="B32" s="24"/>
      <c r="C32" s="25" t="s">
        <v>11</v>
      </c>
      <c r="D32" s="25" t="s">
        <v>70</v>
      </c>
      <c r="E32" s="26">
        <f>IF('Green+Social Interface'!O22&gt;0,(0.535*(Q97-(S97))*52)-(0.375*(Q97-(S97))*52),0)</f>
        <v>0</v>
      </c>
      <c r="F32" s="18">
        <f>E32*VLOOKUP('Green+Social Interface'!$I$38,'Look-ups'!$A$15:$B$43,2,0)</f>
        <v>0</v>
      </c>
      <c r="G32" s="27">
        <v>0.3</v>
      </c>
      <c r="H32" s="27">
        <f>IF(H142&gt;0,'Green+Social Interface'!$O$22*(1-($H$136/$H$142)),0)</f>
        <v>0</v>
      </c>
      <c r="I32" s="21">
        <f>1-('Green+Social Interface'!$O$11)</f>
        <v>0.97499999999999998</v>
      </c>
      <c r="J32" s="22"/>
      <c r="K32" s="32">
        <f t="shared" si="3"/>
        <v>0</v>
      </c>
      <c r="L32" s="32">
        <f t="shared" si="4"/>
        <v>0</v>
      </c>
      <c r="M32" s="152">
        <f t="shared" si="5"/>
        <v>0</v>
      </c>
      <c r="N32" s="33">
        <f t="shared" si="6"/>
        <v>0</v>
      </c>
      <c r="O32" s="33">
        <f>N32*(1+'Green+Social Interface'!$I$35)</f>
        <v>0</v>
      </c>
      <c r="P32" s="33">
        <f>O32*(1+'Green+Social Interface'!$I$35)</f>
        <v>0</v>
      </c>
      <c r="Q32" s="33">
        <f>P32*(1+'Green+Social Interface'!$I$35)</f>
        <v>0</v>
      </c>
      <c r="R32" s="33">
        <f>Q32*(1+'Green+Social Interface'!$I$35)</f>
        <v>0</v>
      </c>
      <c r="S32" s="33">
        <f>R32*(1+'Green+Social Interface'!$I$35)</f>
        <v>0</v>
      </c>
      <c r="T32" s="33">
        <f>S32*(1+'Green+Social Interface'!$I$35)</f>
        <v>0</v>
      </c>
      <c r="U32" s="33">
        <f>T32*(1+'Green+Social Interface'!$I$35)</f>
        <v>0</v>
      </c>
      <c r="V32" s="33">
        <f>U32*(1+'Green+Social Interface'!$I$35)</f>
        <v>0</v>
      </c>
      <c r="W32" s="33">
        <f>V32*(1+'Green+Social Interface'!$I$35)</f>
        <v>0</v>
      </c>
      <c r="X32" s="33">
        <f>W32*(1+'Green+Social Interface'!$I$35)</f>
        <v>0</v>
      </c>
      <c r="Y32" s="33">
        <f>X32*(1+'Green+Social Interface'!$I$35)</f>
        <v>0</v>
      </c>
      <c r="Z32" s="33">
        <f>Y32*(1+'Green+Social Interface'!$I$35)</f>
        <v>0</v>
      </c>
      <c r="AA32" s="33">
        <f>Z32*(1+'Green+Social Interface'!$I$35)</f>
        <v>0</v>
      </c>
      <c r="AB32" s="33">
        <f>AA32*(1+'Green+Social Interface'!$I$35)</f>
        <v>0</v>
      </c>
      <c r="AC32" s="33">
        <f>AB32*(1+'Green+Social Interface'!$I$35)</f>
        <v>0</v>
      </c>
      <c r="AD32" s="33">
        <f>AC32*(1+'Green+Social Interface'!$I$35)</f>
        <v>0</v>
      </c>
      <c r="AE32" s="33">
        <f>AD32*(1+'Green+Social Interface'!$I$35)</f>
        <v>0</v>
      </c>
      <c r="AF32" s="33">
        <f>AE32*(1+'Green+Social Interface'!$I$35)</f>
        <v>0</v>
      </c>
      <c r="AG32" s="33">
        <f>AF32*(1+'Green+Social Interface'!$I$35)</f>
        <v>0</v>
      </c>
      <c r="AH32" s="33">
        <f>AG32*(1+'Green+Social Interface'!$I$35)</f>
        <v>0</v>
      </c>
      <c r="AI32" s="33">
        <f>AH32*(1+'Green+Social Interface'!$I$35)</f>
        <v>0</v>
      </c>
      <c r="AJ32" s="33">
        <f>AI32*(1+'Green+Social Interface'!$I$35)</f>
        <v>0</v>
      </c>
      <c r="AK32" s="33">
        <f>AJ32*(1+'Green+Social Interface'!$I$35)</f>
        <v>0</v>
      </c>
      <c r="AL32" s="33">
        <f>AK32*(1+'Green+Social Interface'!$I$35)</f>
        <v>0</v>
      </c>
      <c r="AM32" s="33">
        <f>AL32*(1+'Green+Social Interface'!$I$35)</f>
        <v>0</v>
      </c>
      <c r="AN32" s="33">
        <f>AM32*(1+'Green+Social Interface'!$I$35)</f>
        <v>0</v>
      </c>
      <c r="AO32" s="33">
        <f>AN32*(1+'Green+Social Interface'!$I$35)</f>
        <v>0</v>
      </c>
      <c r="AP32" s="33">
        <f>AO32*(1+'Green+Social Interface'!$I$35)</f>
        <v>0</v>
      </c>
      <c r="AQ32" s="33">
        <f>AP32*(1+'Green+Social Interface'!$I$35)</f>
        <v>0</v>
      </c>
      <c r="AR32" s="33">
        <f>AQ32*(1+'Green+Social Interface'!$I$35)</f>
        <v>0</v>
      </c>
      <c r="AS32" s="33">
        <f>AR32*(1+'Green+Social Interface'!$I$35)</f>
        <v>0</v>
      </c>
      <c r="AT32" s="33">
        <f>AS32*(1+'Green+Social Interface'!$I$35)</f>
        <v>0</v>
      </c>
      <c r="AU32" s="33">
        <f>AT32*(1+'Green+Social Interface'!$I$35)</f>
        <v>0</v>
      </c>
      <c r="AV32" s="33">
        <f>AU32*(1+'Green+Social Interface'!$I$35)</f>
        <v>0</v>
      </c>
      <c r="AW32" s="33">
        <f>AV32*(1+'Green+Social Interface'!$I$35)</f>
        <v>0</v>
      </c>
      <c r="AX32" s="33">
        <f>AW32*(1+'Green+Social Interface'!$I$35)</f>
        <v>0</v>
      </c>
      <c r="AY32" s="33">
        <f>AX32*(1+'Green+Social Interface'!$I$35)</f>
        <v>0</v>
      </c>
      <c r="AZ32" s="33">
        <f>AY32*(1+'Green+Social Interface'!$I$35)</f>
        <v>0</v>
      </c>
      <c r="BA32" s="33">
        <f>AZ32*(1+'Green+Social Interface'!$I$35)</f>
        <v>0</v>
      </c>
    </row>
    <row r="33" spans="2:54" x14ac:dyDescent="0.25">
      <c r="B33" s="295"/>
      <c r="C33" s="25"/>
      <c r="D33" s="25"/>
      <c r="E33" s="26"/>
      <c r="F33" s="18"/>
      <c r="G33" s="27"/>
      <c r="H33" s="31"/>
      <c r="I33" s="21"/>
      <c r="J33" s="22"/>
      <c r="K33" s="32"/>
      <c r="L33" s="32"/>
      <c r="M33" s="152"/>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row>
    <row r="34" spans="2:54" x14ac:dyDescent="0.25">
      <c r="B34" s="295"/>
      <c r="C34" s="25"/>
      <c r="D34" s="25"/>
      <c r="E34" s="26"/>
      <c r="F34" s="18"/>
      <c r="G34" s="27"/>
      <c r="H34" s="31"/>
      <c r="I34" s="21"/>
      <c r="J34" s="22"/>
      <c r="K34" s="32"/>
      <c r="L34" s="32"/>
      <c r="M34" s="152"/>
      <c r="N34" s="33"/>
      <c r="O34" s="33"/>
      <c r="P34" s="33"/>
      <c r="Q34" s="33"/>
      <c r="R34" s="33"/>
      <c r="S34" s="33"/>
      <c r="T34" s="33"/>
      <c r="U34" s="33"/>
      <c r="V34" s="33"/>
      <c r="W34" s="33"/>
      <c r="X34" s="33"/>
      <c r="Y34" s="33"/>
      <c r="Z34" s="33"/>
      <c r="AA34" s="33"/>
      <c r="AB34" s="33"/>
      <c r="AC34" s="33"/>
      <c r="AD34" s="33"/>
      <c r="AE34" s="33"/>
      <c r="AF34" s="33"/>
      <c r="AG34" s="33"/>
      <c r="AH34" s="33"/>
      <c r="AI34" s="33"/>
      <c r="AJ34" s="33"/>
      <c r="AK34" s="33"/>
      <c r="AL34" s="33"/>
      <c r="AM34" s="33"/>
      <c r="AN34" s="33"/>
      <c r="AO34" s="33"/>
      <c r="AP34" s="33"/>
      <c r="AQ34" s="33"/>
      <c r="AR34" s="33"/>
      <c r="AS34" s="33"/>
      <c r="AT34" s="33"/>
      <c r="AU34" s="33"/>
      <c r="AV34" s="33"/>
      <c r="AW34" s="33"/>
      <c r="AX34" s="33"/>
      <c r="AY34" s="33"/>
      <c r="AZ34" s="33"/>
      <c r="BA34" s="33"/>
    </row>
    <row r="35" spans="2:54" x14ac:dyDescent="0.25">
      <c r="B35" s="554" t="s">
        <v>1049</v>
      </c>
      <c r="C35" s="58"/>
      <c r="D35" s="58" t="s">
        <v>70</v>
      </c>
      <c r="E35" s="59"/>
      <c r="F35" s="461"/>
      <c r="G35" s="60"/>
      <c r="H35" s="61"/>
      <c r="I35" s="226"/>
      <c r="J35" s="22"/>
      <c r="K35" s="63">
        <f t="shared" si="3"/>
        <v>0</v>
      </c>
      <c r="L35" s="63">
        <f t="shared" ref="L35:L36" si="7">AVERAGE(N35:BA35)</f>
        <v>0</v>
      </c>
      <c r="M35" s="65">
        <f t="shared" ref="M35:M36" si="8">SUM(N35:BA35)</f>
        <v>0</v>
      </c>
      <c r="N35" s="64">
        <f>SUM(N13:N22)</f>
        <v>0</v>
      </c>
      <c r="O35" s="64">
        <f t="shared" ref="O35:BA35" si="9">SUM(O13:O22)</f>
        <v>0</v>
      </c>
      <c r="P35" s="64">
        <f t="shared" si="9"/>
        <v>0</v>
      </c>
      <c r="Q35" s="64">
        <f t="shared" si="9"/>
        <v>0</v>
      </c>
      <c r="R35" s="64">
        <f t="shared" si="9"/>
        <v>0</v>
      </c>
      <c r="S35" s="64">
        <f t="shared" si="9"/>
        <v>0</v>
      </c>
      <c r="T35" s="64">
        <f t="shared" si="9"/>
        <v>0</v>
      </c>
      <c r="U35" s="64">
        <f t="shared" si="9"/>
        <v>0</v>
      </c>
      <c r="V35" s="64">
        <f t="shared" si="9"/>
        <v>0</v>
      </c>
      <c r="W35" s="64">
        <f t="shared" si="9"/>
        <v>0</v>
      </c>
      <c r="X35" s="64">
        <f t="shared" si="9"/>
        <v>0</v>
      </c>
      <c r="Y35" s="64">
        <f t="shared" si="9"/>
        <v>0</v>
      </c>
      <c r="Z35" s="64">
        <f t="shared" si="9"/>
        <v>0</v>
      </c>
      <c r="AA35" s="64">
        <f t="shared" si="9"/>
        <v>0</v>
      </c>
      <c r="AB35" s="64">
        <f t="shared" si="9"/>
        <v>0</v>
      </c>
      <c r="AC35" s="64">
        <f t="shared" si="9"/>
        <v>0</v>
      </c>
      <c r="AD35" s="64">
        <f t="shared" si="9"/>
        <v>0</v>
      </c>
      <c r="AE35" s="64">
        <f t="shared" si="9"/>
        <v>0</v>
      </c>
      <c r="AF35" s="64">
        <f t="shared" si="9"/>
        <v>0</v>
      </c>
      <c r="AG35" s="64">
        <f t="shared" si="9"/>
        <v>0</v>
      </c>
      <c r="AH35" s="64">
        <f t="shared" si="9"/>
        <v>0</v>
      </c>
      <c r="AI35" s="64">
        <f t="shared" si="9"/>
        <v>0</v>
      </c>
      <c r="AJ35" s="64">
        <f t="shared" si="9"/>
        <v>0</v>
      </c>
      <c r="AK35" s="64">
        <f t="shared" si="9"/>
        <v>0</v>
      </c>
      <c r="AL35" s="64">
        <f t="shared" si="9"/>
        <v>0</v>
      </c>
      <c r="AM35" s="64">
        <f t="shared" si="9"/>
        <v>0</v>
      </c>
      <c r="AN35" s="64">
        <f t="shared" si="9"/>
        <v>0</v>
      </c>
      <c r="AO35" s="64">
        <f t="shared" si="9"/>
        <v>0</v>
      </c>
      <c r="AP35" s="64">
        <f t="shared" si="9"/>
        <v>0</v>
      </c>
      <c r="AQ35" s="64">
        <f t="shared" si="9"/>
        <v>0</v>
      </c>
      <c r="AR35" s="64">
        <f t="shared" si="9"/>
        <v>0</v>
      </c>
      <c r="AS35" s="64">
        <f t="shared" si="9"/>
        <v>0</v>
      </c>
      <c r="AT35" s="64">
        <f t="shared" si="9"/>
        <v>0</v>
      </c>
      <c r="AU35" s="64">
        <f t="shared" si="9"/>
        <v>0</v>
      </c>
      <c r="AV35" s="64">
        <f t="shared" si="9"/>
        <v>0</v>
      </c>
      <c r="AW35" s="64">
        <f t="shared" si="9"/>
        <v>0</v>
      </c>
      <c r="AX35" s="64">
        <f t="shared" si="9"/>
        <v>0</v>
      </c>
      <c r="AY35" s="64">
        <f t="shared" si="9"/>
        <v>0</v>
      </c>
      <c r="AZ35" s="64">
        <f t="shared" si="9"/>
        <v>0</v>
      </c>
      <c r="BA35" s="64">
        <f t="shared" si="9"/>
        <v>0</v>
      </c>
    </row>
    <row r="36" spans="2:54" x14ac:dyDescent="0.25">
      <c r="B36" s="554" t="s">
        <v>1048</v>
      </c>
      <c r="C36" s="58"/>
      <c r="D36" s="58" t="s">
        <v>70</v>
      </c>
      <c r="E36" s="59"/>
      <c r="F36" s="461"/>
      <c r="G36" s="60"/>
      <c r="H36" s="61"/>
      <c r="I36" s="226"/>
      <c r="J36" s="22"/>
      <c r="K36" s="63">
        <f t="shared" si="3"/>
        <v>0</v>
      </c>
      <c r="L36" s="63">
        <f t="shared" si="7"/>
        <v>0</v>
      </c>
      <c r="M36" s="65">
        <f t="shared" si="8"/>
        <v>0</v>
      </c>
      <c r="N36" s="64">
        <f>SUM(N23:N32)</f>
        <v>0</v>
      </c>
      <c r="O36" s="64">
        <f t="shared" ref="O36:BA36" si="10">SUM(O23:O32)</f>
        <v>0</v>
      </c>
      <c r="P36" s="64">
        <f t="shared" si="10"/>
        <v>0</v>
      </c>
      <c r="Q36" s="64">
        <f t="shared" si="10"/>
        <v>0</v>
      </c>
      <c r="R36" s="64">
        <f t="shared" si="10"/>
        <v>0</v>
      </c>
      <c r="S36" s="64">
        <f t="shared" si="10"/>
        <v>0</v>
      </c>
      <c r="T36" s="64">
        <f t="shared" si="10"/>
        <v>0</v>
      </c>
      <c r="U36" s="64">
        <f t="shared" si="10"/>
        <v>0</v>
      </c>
      <c r="V36" s="64">
        <f t="shared" si="10"/>
        <v>0</v>
      </c>
      <c r="W36" s="64">
        <f t="shared" si="10"/>
        <v>0</v>
      </c>
      <c r="X36" s="64">
        <f t="shared" si="10"/>
        <v>0</v>
      </c>
      <c r="Y36" s="64">
        <f t="shared" si="10"/>
        <v>0</v>
      </c>
      <c r="Z36" s="64">
        <f t="shared" si="10"/>
        <v>0</v>
      </c>
      <c r="AA36" s="64">
        <f t="shared" si="10"/>
        <v>0</v>
      </c>
      <c r="AB36" s="64">
        <f t="shared" si="10"/>
        <v>0</v>
      </c>
      <c r="AC36" s="64">
        <f t="shared" si="10"/>
        <v>0</v>
      </c>
      <c r="AD36" s="64">
        <f t="shared" si="10"/>
        <v>0</v>
      </c>
      <c r="AE36" s="64">
        <f t="shared" si="10"/>
        <v>0</v>
      </c>
      <c r="AF36" s="64">
        <f t="shared" si="10"/>
        <v>0</v>
      </c>
      <c r="AG36" s="64">
        <f t="shared" si="10"/>
        <v>0</v>
      </c>
      <c r="AH36" s="64">
        <f t="shared" si="10"/>
        <v>0</v>
      </c>
      <c r="AI36" s="64">
        <f t="shared" si="10"/>
        <v>0</v>
      </c>
      <c r="AJ36" s="64">
        <f t="shared" si="10"/>
        <v>0</v>
      </c>
      <c r="AK36" s="64">
        <f t="shared" si="10"/>
        <v>0</v>
      </c>
      <c r="AL36" s="64">
        <f t="shared" si="10"/>
        <v>0</v>
      </c>
      <c r="AM36" s="64">
        <f t="shared" si="10"/>
        <v>0</v>
      </c>
      <c r="AN36" s="64">
        <f t="shared" si="10"/>
        <v>0</v>
      </c>
      <c r="AO36" s="64">
        <f t="shared" si="10"/>
        <v>0</v>
      </c>
      <c r="AP36" s="64">
        <f t="shared" si="10"/>
        <v>0</v>
      </c>
      <c r="AQ36" s="64">
        <f t="shared" si="10"/>
        <v>0</v>
      </c>
      <c r="AR36" s="64">
        <f t="shared" si="10"/>
        <v>0</v>
      </c>
      <c r="AS36" s="64">
        <f t="shared" si="10"/>
        <v>0</v>
      </c>
      <c r="AT36" s="64">
        <f t="shared" si="10"/>
        <v>0</v>
      </c>
      <c r="AU36" s="64">
        <f t="shared" si="10"/>
        <v>0</v>
      </c>
      <c r="AV36" s="64">
        <f t="shared" si="10"/>
        <v>0</v>
      </c>
      <c r="AW36" s="64">
        <f t="shared" si="10"/>
        <v>0</v>
      </c>
      <c r="AX36" s="64">
        <f t="shared" si="10"/>
        <v>0</v>
      </c>
      <c r="AY36" s="64">
        <f t="shared" si="10"/>
        <v>0</v>
      </c>
      <c r="AZ36" s="64">
        <f t="shared" si="10"/>
        <v>0</v>
      </c>
      <c r="BA36" s="64">
        <f t="shared" si="10"/>
        <v>0</v>
      </c>
    </row>
    <row r="37" spans="2:54" x14ac:dyDescent="0.25">
      <c r="B37" s="24"/>
      <c r="C37" s="25" t="s">
        <v>71</v>
      </c>
      <c r="D37" s="25" t="s">
        <v>66</v>
      </c>
      <c r="E37" s="26">
        <v>277</v>
      </c>
      <c r="F37" s="18">
        <f>E37*VLOOKUP('Green+Social Interface'!$I$38,'Look-ups'!$A$15:$B$43,2,0)</f>
        <v>296.39000000000004</v>
      </c>
      <c r="G37" s="27">
        <v>0.25</v>
      </c>
      <c r="H37" s="31">
        <f>B$85</f>
        <v>0</v>
      </c>
      <c r="I37" s="21">
        <f>'Green+Social Interface'!$O$6</f>
        <v>7.0000000000000007E-2</v>
      </c>
      <c r="J37" s="22"/>
      <c r="K37" s="32">
        <f t="shared" si="3"/>
        <v>0</v>
      </c>
      <c r="L37" s="32">
        <f t="shared" si="4"/>
        <v>0</v>
      </c>
      <c r="M37" s="152">
        <f t="shared" si="5"/>
        <v>0</v>
      </c>
      <c r="N37" s="33">
        <f t="shared" ref="N37:N45" si="11">H37*G37*F37</f>
        <v>0</v>
      </c>
      <c r="O37" s="33">
        <f>N37*(1+'Green+Social Interface'!$I$35)</f>
        <v>0</v>
      </c>
      <c r="P37" s="33">
        <f>O37*(1+'Green+Social Interface'!$I$35)</f>
        <v>0</v>
      </c>
      <c r="Q37" s="33">
        <f>P37*(1+'Green+Social Interface'!$I$35)</f>
        <v>0</v>
      </c>
      <c r="R37" s="33">
        <f>Q37*(1+'Green+Social Interface'!$I$35)</f>
        <v>0</v>
      </c>
      <c r="S37" s="33">
        <f>R37*(1+'Green+Social Interface'!$I$35)</f>
        <v>0</v>
      </c>
      <c r="T37" s="33">
        <f>S37*(1+'Green+Social Interface'!$I$35)</f>
        <v>0</v>
      </c>
      <c r="U37" s="33">
        <f>T37*(1+'Green+Social Interface'!$I$35)</f>
        <v>0</v>
      </c>
      <c r="V37" s="33">
        <f>U37*(1+'Green+Social Interface'!$I$35)</f>
        <v>0</v>
      </c>
      <c r="W37" s="33">
        <f>V37*(1+'Green+Social Interface'!$I$35)</f>
        <v>0</v>
      </c>
      <c r="X37" s="33">
        <f>W37*(1+'Green+Social Interface'!$I$35)</f>
        <v>0</v>
      </c>
      <c r="Y37" s="33">
        <f>X37*(1+'Green+Social Interface'!$I$35)</f>
        <v>0</v>
      </c>
      <c r="Z37" s="33">
        <f>Y37*(1+'Green+Social Interface'!$I$35)</f>
        <v>0</v>
      </c>
      <c r="AA37" s="33">
        <f>Z37*(1+'Green+Social Interface'!$I$35)</f>
        <v>0</v>
      </c>
      <c r="AB37" s="33">
        <f>AA37*(1+'Green+Social Interface'!$I$35)</f>
        <v>0</v>
      </c>
      <c r="AC37" s="33">
        <f>AB37*(1+'Green+Social Interface'!$I$35)</f>
        <v>0</v>
      </c>
      <c r="AD37" s="33">
        <f>AC37*(1+'Green+Social Interface'!$I$35)</f>
        <v>0</v>
      </c>
      <c r="AE37" s="33">
        <f>AD37*(1+'Green+Social Interface'!$I$35)</f>
        <v>0</v>
      </c>
      <c r="AF37" s="33">
        <f>AE37*(1+'Green+Social Interface'!$I$35)</f>
        <v>0</v>
      </c>
      <c r="AG37" s="33">
        <f>AF37*(1+'Green+Social Interface'!$I$35)</f>
        <v>0</v>
      </c>
      <c r="AH37" s="33">
        <f>AG37*(1+'Green+Social Interface'!$I$35)</f>
        <v>0</v>
      </c>
      <c r="AI37" s="33">
        <f>AH37*(1+'Green+Social Interface'!$I$35)</f>
        <v>0</v>
      </c>
      <c r="AJ37" s="33">
        <f>AI37*(1+'Green+Social Interface'!$I$35)</f>
        <v>0</v>
      </c>
      <c r="AK37" s="33">
        <f>AJ37*(1+'Green+Social Interface'!$I$35)</f>
        <v>0</v>
      </c>
      <c r="AL37" s="33">
        <f>AK37*(1+'Green+Social Interface'!$I$35)</f>
        <v>0</v>
      </c>
      <c r="AM37" s="33">
        <f>AL37*(1+'Green+Social Interface'!$I$35)</f>
        <v>0</v>
      </c>
      <c r="AN37" s="33">
        <f>AM37*(1+'Green+Social Interface'!$I$35)</f>
        <v>0</v>
      </c>
      <c r="AO37" s="33">
        <f>AN37*(1+'Green+Social Interface'!$I$35)</f>
        <v>0</v>
      </c>
      <c r="AP37" s="33">
        <f>AO37*(1+'Green+Social Interface'!$I$35)</f>
        <v>0</v>
      </c>
      <c r="AQ37" s="33">
        <f>AP37*(1+'Green+Social Interface'!$I$35)</f>
        <v>0</v>
      </c>
      <c r="AR37" s="33">
        <f>AQ37*(1+'Green+Social Interface'!$I$35)</f>
        <v>0</v>
      </c>
      <c r="AS37" s="33">
        <f>AR37*(1+'Green+Social Interface'!$I$35)</f>
        <v>0</v>
      </c>
      <c r="AT37" s="33">
        <f>AS37*(1+'Green+Social Interface'!$I$35)</f>
        <v>0</v>
      </c>
      <c r="AU37" s="33">
        <f>AT37*(1+'Green+Social Interface'!$I$35)</f>
        <v>0</v>
      </c>
      <c r="AV37" s="33">
        <f>AU37*(1+'Green+Social Interface'!$I$35)</f>
        <v>0</v>
      </c>
      <c r="AW37" s="33">
        <f>AV37*(1+'Green+Social Interface'!$I$35)</f>
        <v>0</v>
      </c>
      <c r="AX37" s="33">
        <f>AW37*(1+'Green+Social Interface'!$I$35)</f>
        <v>0</v>
      </c>
      <c r="AY37" s="33">
        <f>AX37*(1+'Green+Social Interface'!$I$35)</f>
        <v>0</v>
      </c>
      <c r="AZ37" s="33">
        <f>AY37*(1+'Green+Social Interface'!$I$35)</f>
        <v>0</v>
      </c>
      <c r="BA37" s="33">
        <f>AZ37*(1+'Green+Social Interface'!$I$35)</f>
        <v>0</v>
      </c>
    </row>
    <row r="38" spans="2:54" x14ac:dyDescent="0.25">
      <c r="B38" s="24"/>
      <c r="C38" s="25" t="s">
        <v>72</v>
      </c>
      <c r="D38" s="25" t="s">
        <v>70</v>
      </c>
      <c r="E38" s="34">
        <v>3430</v>
      </c>
      <c r="F38" s="18">
        <f>E38*VLOOKUP('Green+Social Interface'!$I$38,'Look-ups'!$A$15:$B$43,2,0)</f>
        <v>3670.1000000000004</v>
      </c>
      <c r="G38" s="27">
        <v>0.05</v>
      </c>
      <c r="H38" s="31">
        <f>H$135</f>
        <v>0</v>
      </c>
      <c r="I38" s="21">
        <f>'Green+Social Interface'!$O$6</f>
        <v>7.0000000000000007E-2</v>
      </c>
      <c r="J38" s="22"/>
      <c r="K38" s="32">
        <f t="shared" si="3"/>
        <v>0</v>
      </c>
      <c r="L38" s="32">
        <f t="shared" si="4"/>
        <v>0</v>
      </c>
      <c r="M38" s="152">
        <f t="shared" si="5"/>
        <v>0</v>
      </c>
      <c r="N38" s="33">
        <f>H38*G38*F38</f>
        <v>0</v>
      </c>
      <c r="O38" s="33">
        <f>N38*(1+'Green+Social Interface'!$I$35)</f>
        <v>0</v>
      </c>
      <c r="P38" s="33">
        <f>O38*(1+'Green+Social Interface'!$I$35)</f>
        <v>0</v>
      </c>
      <c r="Q38" s="33">
        <f>P38*(1+'Green+Social Interface'!$I$35)</f>
        <v>0</v>
      </c>
      <c r="R38" s="33">
        <f>Q38*(1+'Green+Social Interface'!$I$35)</f>
        <v>0</v>
      </c>
      <c r="S38" s="33">
        <f>R38*(1+'Green+Social Interface'!$I$35)</f>
        <v>0</v>
      </c>
      <c r="T38" s="33">
        <f>S38*(1+'Green+Social Interface'!$I$35)</f>
        <v>0</v>
      </c>
      <c r="U38" s="33">
        <f>T38*(1+'Green+Social Interface'!$I$35)</f>
        <v>0</v>
      </c>
      <c r="V38" s="33">
        <f>U38*(1+'Green+Social Interface'!$I$35)</f>
        <v>0</v>
      </c>
      <c r="W38" s="33">
        <f>V38*(1+'Green+Social Interface'!$I$35)</f>
        <v>0</v>
      </c>
      <c r="X38" s="33">
        <f>W38*(1+'Green+Social Interface'!$I$35)</f>
        <v>0</v>
      </c>
      <c r="Y38" s="33">
        <f>X38*(1+'Green+Social Interface'!$I$35)</f>
        <v>0</v>
      </c>
      <c r="Z38" s="33">
        <f>Y38*(1+'Green+Social Interface'!$I$35)</f>
        <v>0</v>
      </c>
      <c r="AA38" s="33">
        <f>Z38*(1+'Green+Social Interface'!$I$35)</f>
        <v>0</v>
      </c>
      <c r="AB38" s="33">
        <f>AA38*(1+'Green+Social Interface'!$I$35)</f>
        <v>0</v>
      </c>
      <c r="AC38" s="33">
        <f>AB38*(1+'Green+Social Interface'!$I$35)</f>
        <v>0</v>
      </c>
      <c r="AD38" s="33">
        <f>AC38*(1+'Green+Social Interface'!$I$35)</f>
        <v>0</v>
      </c>
      <c r="AE38" s="33">
        <f>AD38*(1+'Green+Social Interface'!$I$35)</f>
        <v>0</v>
      </c>
      <c r="AF38" s="33">
        <f>AE38*(1+'Green+Social Interface'!$I$35)</f>
        <v>0</v>
      </c>
      <c r="AG38" s="33">
        <f>AF38*(1+'Green+Social Interface'!$I$35)</f>
        <v>0</v>
      </c>
      <c r="AH38" s="33">
        <f>AG38*(1+'Green+Social Interface'!$I$35)</f>
        <v>0</v>
      </c>
      <c r="AI38" s="33">
        <f>AH38*(1+'Green+Social Interface'!$I$35)</f>
        <v>0</v>
      </c>
      <c r="AJ38" s="33">
        <f>AI38*(1+'Green+Social Interface'!$I$35)</f>
        <v>0</v>
      </c>
      <c r="AK38" s="33">
        <f>AJ38*(1+'Green+Social Interface'!$I$35)</f>
        <v>0</v>
      </c>
      <c r="AL38" s="33">
        <f>AK38*(1+'Green+Social Interface'!$I$35)</f>
        <v>0</v>
      </c>
      <c r="AM38" s="33">
        <f>AL38*(1+'Green+Social Interface'!$I$35)</f>
        <v>0</v>
      </c>
      <c r="AN38" s="33">
        <f>AM38*(1+'Green+Social Interface'!$I$35)</f>
        <v>0</v>
      </c>
      <c r="AO38" s="33">
        <f>AN38*(1+'Green+Social Interface'!$I$35)</f>
        <v>0</v>
      </c>
      <c r="AP38" s="33">
        <f>AO38*(1+'Green+Social Interface'!$I$35)</f>
        <v>0</v>
      </c>
      <c r="AQ38" s="33">
        <f>AP38*(1+'Green+Social Interface'!$I$35)</f>
        <v>0</v>
      </c>
      <c r="AR38" s="33">
        <f>AQ38*(1+'Green+Social Interface'!$I$35)</f>
        <v>0</v>
      </c>
      <c r="AS38" s="33">
        <f>AR38*(1+'Green+Social Interface'!$I$35)</f>
        <v>0</v>
      </c>
      <c r="AT38" s="33">
        <f>AS38*(1+'Green+Social Interface'!$I$35)</f>
        <v>0</v>
      </c>
      <c r="AU38" s="33">
        <f>AT38*(1+'Green+Social Interface'!$I$35)</f>
        <v>0</v>
      </c>
      <c r="AV38" s="33">
        <f>AU38*(1+'Green+Social Interface'!$I$35)</f>
        <v>0</v>
      </c>
      <c r="AW38" s="33">
        <f>AV38*(1+'Green+Social Interface'!$I$35)</f>
        <v>0</v>
      </c>
      <c r="AX38" s="33">
        <f>AW38*(1+'Green+Social Interface'!$I$35)</f>
        <v>0</v>
      </c>
      <c r="AY38" s="33">
        <f>AX38*(1+'Green+Social Interface'!$I$35)</f>
        <v>0</v>
      </c>
      <c r="AZ38" s="33">
        <f>AY38*(1+'Green+Social Interface'!$I$35)</f>
        <v>0</v>
      </c>
      <c r="BA38" s="33">
        <f>AZ38*(1+'Green+Social Interface'!$I$35)</f>
        <v>0</v>
      </c>
    </row>
    <row r="39" spans="2:54" x14ac:dyDescent="0.25">
      <c r="B39" s="24" t="s">
        <v>73</v>
      </c>
      <c r="C39" s="25" t="s">
        <v>74</v>
      </c>
      <c r="D39" s="25" t="s">
        <v>70</v>
      </c>
      <c r="E39" s="34">
        <v>0</v>
      </c>
      <c r="F39" s="18">
        <f>E39*VLOOKUP('Green+Social Interface'!$I$38,'Look-ups'!$A$15:$B$43,2,0)</f>
        <v>0</v>
      </c>
      <c r="G39" s="27">
        <v>0.04</v>
      </c>
      <c r="H39" s="31">
        <f>(0.5*H$138)+(0.3*H$139)</f>
        <v>0</v>
      </c>
      <c r="I39" s="21">
        <f>'Green+Social Interface'!$O$6</f>
        <v>7.0000000000000007E-2</v>
      </c>
      <c r="J39" s="22"/>
      <c r="K39" s="32">
        <f t="shared" si="3"/>
        <v>0</v>
      </c>
      <c r="L39" s="32">
        <f t="shared" si="4"/>
        <v>0</v>
      </c>
      <c r="M39" s="152">
        <f t="shared" si="5"/>
        <v>0</v>
      </c>
      <c r="N39" s="33">
        <f t="shared" si="11"/>
        <v>0</v>
      </c>
      <c r="O39" s="33">
        <f>N39*(1+'Green+Social Interface'!$I$35)</f>
        <v>0</v>
      </c>
      <c r="P39" s="33">
        <f>O39*(1+'Green+Social Interface'!$I$35)</f>
        <v>0</v>
      </c>
      <c r="Q39" s="33">
        <f>P39*(1+'Green+Social Interface'!$I$35)</f>
        <v>0</v>
      </c>
      <c r="R39" s="33">
        <f>Q39*(1+'Green+Social Interface'!$I$35)</f>
        <v>0</v>
      </c>
      <c r="S39" s="33">
        <f>R39*(1+'Green+Social Interface'!$I$35)</f>
        <v>0</v>
      </c>
      <c r="T39" s="33">
        <f>S39*(1+'Green+Social Interface'!$I$35)</f>
        <v>0</v>
      </c>
      <c r="U39" s="33">
        <f>T39*(1+'Green+Social Interface'!$I$35)</f>
        <v>0</v>
      </c>
      <c r="V39" s="33">
        <f>U39*(1+'Green+Social Interface'!$I$35)</f>
        <v>0</v>
      </c>
      <c r="W39" s="33">
        <f>V39*(1+'Green+Social Interface'!$I$35)</f>
        <v>0</v>
      </c>
      <c r="X39" s="33">
        <f>W39*(1+'Green+Social Interface'!$I$35)</f>
        <v>0</v>
      </c>
      <c r="Y39" s="33">
        <f>X39*(1+'Green+Social Interface'!$I$35)</f>
        <v>0</v>
      </c>
      <c r="Z39" s="33">
        <f>Y39*(1+'Green+Social Interface'!$I$35)</f>
        <v>0</v>
      </c>
      <c r="AA39" s="33">
        <f>Z39*(1+'Green+Social Interface'!$I$35)</f>
        <v>0</v>
      </c>
      <c r="AB39" s="33">
        <f>AA39*(1+'Green+Social Interface'!$I$35)</f>
        <v>0</v>
      </c>
      <c r="AC39" s="33">
        <f>AB39*(1+'Green+Social Interface'!$I$35)</f>
        <v>0</v>
      </c>
      <c r="AD39" s="33">
        <f>AC39*(1+'Green+Social Interface'!$I$35)</f>
        <v>0</v>
      </c>
      <c r="AE39" s="33">
        <f>AD39*(1+'Green+Social Interface'!$I$35)</f>
        <v>0</v>
      </c>
      <c r="AF39" s="33">
        <f>AE39*(1+'Green+Social Interface'!$I$35)</f>
        <v>0</v>
      </c>
      <c r="AG39" s="33">
        <f>AF39*(1+'Green+Social Interface'!$I$35)</f>
        <v>0</v>
      </c>
      <c r="AH39" s="33">
        <f>AG39*(1+'Green+Social Interface'!$I$35)</f>
        <v>0</v>
      </c>
      <c r="AI39" s="33">
        <f>AH39*(1+'Green+Social Interface'!$I$35)</f>
        <v>0</v>
      </c>
      <c r="AJ39" s="33">
        <f>AI39*(1+'Green+Social Interface'!$I$35)</f>
        <v>0</v>
      </c>
      <c r="AK39" s="33">
        <f>AJ39*(1+'Green+Social Interface'!$I$35)</f>
        <v>0</v>
      </c>
      <c r="AL39" s="33">
        <f>AK39*(1+'Green+Social Interface'!$I$35)</f>
        <v>0</v>
      </c>
      <c r="AM39" s="33">
        <f>AL39*(1+'Green+Social Interface'!$I$35)</f>
        <v>0</v>
      </c>
      <c r="AN39" s="33">
        <f>AM39*(1+'Green+Social Interface'!$I$35)</f>
        <v>0</v>
      </c>
      <c r="AO39" s="33">
        <f>AN39*(1+'Green+Social Interface'!$I$35)</f>
        <v>0</v>
      </c>
      <c r="AP39" s="33">
        <f>AO39*(1+'Green+Social Interface'!$I$35)</f>
        <v>0</v>
      </c>
      <c r="AQ39" s="33">
        <f>AP39*(1+'Green+Social Interface'!$I$35)</f>
        <v>0</v>
      </c>
      <c r="AR39" s="33">
        <f>AQ39*(1+'Green+Social Interface'!$I$35)</f>
        <v>0</v>
      </c>
      <c r="AS39" s="33">
        <f>AR39*(1+'Green+Social Interface'!$I$35)</f>
        <v>0</v>
      </c>
      <c r="AT39" s="33">
        <f>AS39*(1+'Green+Social Interface'!$I$35)</f>
        <v>0</v>
      </c>
      <c r="AU39" s="33">
        <f>AT39*(1+'Green+Social Interface'!$I$35)</f>
        <v>0</v>
      </c>
      <c r="AV39" s="33">
        <f>AU39*(1+'Green+Social Interface'!$I$35)</f>
        <v>0</v>
      </c>
      <c r="AW39" s="33">
        <f>AV39*(1+'Green+Social Interface'!$I$35)</f>
        <v>0</v>
      </c>
      <c r="AX39" s="33">
        <f>AW39*(1+'Green+Social Interface'!$I$35)</f>
        <v>0</v>
      </c>
      <c r="AY39" s="33">
        <f>AX39*(1+'Green+Social Interface'!$I$35)</f>
        <v>0</v>
      </c>
      <c r="AZ39" s="33">
        <f>AY39*(1+'Green+Social Interface'!$I$35)</f>
        <v>0</v>
      </c>
      <c r="BA39" s="33">
        <f>AZ39*(1+'Green+Social Interface'!$I$35)</f>
        <v>0</v>
      </c>
    </row>
    <row r="40" spans="2:54" x14ac:dyDescent="0.25">
      <c r="B40" s="24"/>
      <c r="C40" s="25" t="s">
        <v>75</v>
      </c>
      <c r="D40" s="25" t="s">
        <v>70</v>
      </c>
      <c r="E40" s="34">
        <v>5225</v>
      </c>
      <c r="F40" s="18">
        <f>E40*VLOOKUP('Green+Social Interface'!$I$38,'Look-ups'!$A$15:$B$43,2,0)</f>
        <v>5590.75</v>
      </c>
      <c r="G40" s="27">
        <v>0.06</v>
      </c>
      <c r="H40" s="31">
        <f>(0.5*H$138)+(0.3*H$139)</f>
        <v>0</v>
      </c>
      <c r="I40" s="21">
        <f>'Green+Social Interface'!$O$6</f>
        <v>7.0000000000000007E-2</v>
      </c>
      <c r="J40" s="22"/>
      <c r="K40" s="32">
        <f t="shared" si="3"/>
        <v>0</v>
      </c>
      <c r="L40" s="32">
        <f t="shared" si="4"/>
        <v>0</v>
      </c>
      <c r="M40" s="152">
        <f t="shared" si="5"/>
        <v>0</v>
      </c>
      <c r="N40" s="33">
        <f t="shared" si="11"/>
        <v>0</v>
      </c>
      <c r="O40" s="33">
        <f>N40*(1+'Green+Social Interface'!$I$35)</f>
        <v>0</v>
      </c>
      <c r="P40" s="33">
        <f>O40*(1+'Green+Social Interface'!$I$35)</f>
        <v>0</v>
      </c>
      <c r="Q40" s="33">
        <f>P40*(1+'Green+Social Interface'!$I$35)</f>
        <v>0</v>
      </c>
      <c r="R40" s="33">
        <f>Q40*(1+'Green+Social Interface'!$I$35)</f>
        <v>0</v>
      </c>
      <c r="S40" s="33">
        <f>R40*(1+'Green+Social Interface'!$I$35)</f>
        <v>0</v>
      </c>
      <c r="T40" s="33">
        <f>S40*(1+'Green+Social Interface'!$I$35)</f>
        <v>0</v>
      </c>
      <c r="U40" s="33">
        <f>T40*(1+'Green+Social Interface'!$I$35)</f>
        <v>0</v>
      </c>
      <c r="V40" s="33">
        <f>U40*(1+'Green+Social Interface'!$I$35)</f>
        <v>0</v>
      </c>
      <c r="W40" s="33">
        <f>V40*(1+'Green+Social Interface'!$I$35)</f>
        <v>0</v>
      </c>
      <c r="X40" s="33">
        <f>W40*(1+'Green+Social Interface'!$I$35)</f>
        <v>0</v>
      </c>
      <c r="Y40" s="33">
        <f>X40*(1+'Green+Social Interface'!$I$35)</f>
        <v>0</v>
      </c>
      <c r="Z40" s="33">
        <f>Y40*(1+'Green+Social Interface'!$I$35)</f>
        <v>0</v>
      </c>
      <c r="AA40" s="33">
        <f>Z40*(1+'Green+Social Interface'!$I$35)</f>
        <v>0</v>
      </c>
      <c r="AB40" s="33">
        <f>AA40*(1+'Green+Social Interface'!$I$35)</f>
        <v>0</v>
      </c>
      <c r="AC40" s="33">
        <f>AB40*(1+'Green+Social Interface'!$I$35)</f>
        <v>0</v>
      </c>
      <c r="AD40" s="33">
        <f>AC40*(1+'Green+Social Interface'!$I$35)</f>
        <v>0</v>
      </c>
      <c r="AE40" s="33">
        <f>AD40*(1+'Green+Social Interface'!$I$35)</f>
        <v>0</v>
      </c>
      <c r="AF40" s="33">
        <f>AE40*(1+'Green+Social Interface'!$I$35)</f>
        <v>0</v>
      </c>
      <c r="AG40" s="33">
        <f>AF40*(1+'Green+Social Interface'!$I$35)</f>
        <v>0</v>
      </c>
      <c r="AH40" s="33">
        <f>AG40*(1+'Green+Social Interface'!$I$35)</f>
        <v>0</v>
      </c>
      <c r="AI40" s="33">
        <f>AH40*(1+'Green+Social Interface'!$I$35)</f>
        <v>0</v>
      </c>
      <c r="AJ40" s="33">
        <f>AI40*(1+'Green+Social Interface'!$I$35)</f>
        <v>0</v>
      </c>
      <c r="AK40" s="33">
        <f>AJ40*(1+'Green+Social Interface'!$I$35)</f>
        <v>0</v>
      </c>
      <c r="AL40" s="33">
        <f>AK40*(1+'Green+Social Interface'!$I$35)</f>
        <v>0</v>
      </c>
      <c r="AM40" s="33">
        <f>AL40*(1+'Green+Social Interface'!$I$35)</f>
        <v>0</v>
      </c>
      <c r="AN40" s="33">
        <f>AM40*(1+'Green+Social Interface'!$I$35)</f>
        <v>0</v>
      </c>
      <c r="AO40" s="33">
        <f>AN40*(1+'Green+Social Interface'!$I$35)</f>
        <v>0</v>
      </c>
      <c r="AP40" s="33">
        <f>AO40*(1+'Green+Social Interface'!$I$35)</f>
        <v>0</v>
      </c>
      <c r="AQ40" s="33">
        <f>AP40*(1+'Green+Social Interface'!$I$35)</f>
        <v>0</v>
      </c>
      <c r="AR40" s="33">
        <f>AQ40*(1+'Green+Social Interface'!$I$35)</f>
        <v>0</v>
      </c>
      <c r="AS40" s="33">
        <f>AR40*(1+'Green+Social Interface'!$I$35)</f>
        <v>0</v>
      </c>
      <c r="AT40" s="33">
        <f>AS40*(1+'Green+Social Interface'!$I$35)</f>
        <v>0</v>
      </c>
      <c r="AU40" s="33">
        <f>AT40*(1+'Green+Social Interface'!$I$35)</f>
        <v>0</v>
      </c>
      <c r="AV40" s="33">
        <f>AU40*(1+'Green+Social Interface'!$I$35)</f>
        <v>0</v>
      </c>
      <c r="AW40" s="33">
        <f>AV40*(1+'Green+Social Interface'!$I$35)</f>
        <v>0</v>
      </c>
      <c r="AX40" s="33">
        <f>AW40*(1+'Green+Social Interface'!$I$35)</f>
        <v>0</v>
      </c>
      <c r="AY40" s="33">
        <f>AX40*(1+'Green+Social Interface'!$I$35)</f>
        <v>0</v>
      </c>
      <c r="AZ40" s="33">
        <f>AY40*(1+'Green+Social Interface'!$I$35)</f>
        <v>0</v>
      </c>
      <c r="BA40" s="33">
        <f>AZ40*(1+'Green+Social Interface'!$I$35)</f>
        <v>0</v>
      </c>
      <c r="BB40" t="s">
        <v>999</v>
      </c>
    </row>
    <row r="41" spans="2:54" x14ac:dyDescent="0.25">
      <c r="B41" s="24"/>
      <c r="C41" s="25" t="s">
        <v>76</v>
      </c>
      <c r="D41" s="25" t="s">
        <v>66</v>
      </c>
      <c r="E41" s="34">
        <v>0</v>
      </c>
      <c r="F41" s="18">
        <f>E41*VLOOKUP('Green+Social Interface'!$I$38,'Look-ups'!$A$15:$B$43,2,0)</f>
        <v>0</v>
      </c>
      <c r="G41" s="27">
        <v>0.04</v>
      </c>
      <c r="H41" s="31">
        <f>(0.5*H$138)+(0.3*H$139)</f>
        <v>0</v>
      </c>
      <c r="I41" s="21">
        <f>'Green+Social Interface'!$O$6</f>
        <v>7.0000000000000007E-2</v>
      </c>
      <c r="J41" s="22"/>
      <c r="K41" s="32">
        <f t="shared" si="3"/>
        <v>0</v>
      </c>
      <c r="L41" s="32">
        <f t="shared" si="4"/>
        <v>0</v>
      </c>
      <c r="M41" s="152">
        <f>SUM(N41:BA41)</f>
        <v>0</v>
      </c>
      <c r="N41" s="33">
        <f t="shared" si="11"/>
        <v>0</v>
      </c>
      <c r="O41" s="33">
        <f>N41*(1+'Green+Social Interface'!$I$35)</f>
        <v>0</v>
      </c>
      <c r="P41" s="33">
        <f>O41*(1+'Green+Social Interface'!$I$35)</f>
        <v>0</v>
      </c>
      <c r="Q41" s="33">
        <f>P41*(1+'Green+Social Interface'!$I$35)</f>
        <v>0</v>
      </c>
      <c r="R41" s="33">
        <f>Q41*(1+'Green+Social Interface'!$I$35)</f>
        <v>0</v>
      </c>
      <c r="S41" s="33">
        <f>R41*(1+'Green+Social Interface'!$I$35)</f>
        <v>0</v>
      </c>
      <c r="T41" s="33">
        <f>S41*(1+'Green+Social Interface'!$I$35)</f>
        <v>0</v>
      </c>
      <c r="U41" s="33">
        <f>T41*(1+'Green+Social Interface'!$I$35)</f>
        <v>0</v>
      </c>
      <c r="V41" s="33">
        <f>U41*(1+'Green+Social Interface'!$I$35)</f>
        <v>0</v>
      </c>
      <c r="W41" s="33">
        <f>V41*(1+'Green+Social Interface'!$I$35)</f>
        <v>0</v>
      </c>
      <c r="X41" s="33">
        <f>W41*(1+'Green+Social Interface'!$I$35)</f>
        <v>0</v>
      </c>
      <c r="Y41" s="33">
        <f>X41*(1+'Green+Social Interface'!$I$35)</f>
        <v>0</v>
      </c>
      <c r="Z41" s="33">
        <f>Y41*(1+'Green+Social Interface'!$I$35)</f>
        <v>0</v>
      </c>
      <c r="AA41" s="33">
        <f>Z41*(1+'Green+Social Interface'!$I$35)</f>
        <v>0</v>
      </c>
      <c r="AB41" s="33">
        <f>AA41*(1+'Green+Social Interface'!$I$35)</f>
        <v>0</v>
      </c>
      <c r="AC41" s="33">
        <f>AB41*(1+'Green+Social Interface'!$I$35)</f>
        <v>0</v>
      </c>
      <c r="AD41" s="33">
        <f>AC41*(1+'Green+Social Interface'!$I$35)</f>
        <v>0</v>
      </c>
      <c r="AE41" s="33">
        <f>AD41*(1+'Green+Social Interface'!$I$35)</f>
        <v>0</v>
      </c>
      <c r="AF41" s="33">
        <f>AE41*(1+'Green+Social Interface'!$I$35)</f>
        <v>0</v>
      </c>
      <c r="AG41" s="33">
        <f>AF41*(1+'Green+Social Interface'!$I$35)</f>
        <v>0</v>
      </c>
      <c r="AH41" s="33">
        <f>AG41*(1+'Green+Social Interface'!$I$35)</f>
        <v>0</v>
      </c>
      <c r="AI41" s="33">
        <f>AH41*(1+'Green+Social Interface'!$I$35)</f>
        <v>0</v>
      </c>
      <c r="AJ41" s="33">
        <f>AI41*(1+'Green+Social Interface'!$I$35)</f>
        <v>0</v>
      </c>
      <c r="AK41" s="33">
        <f>AJ41*(1+'Green+Social Interface'!$I$35)</f>
        <v>0</v>
      </c>
      <c r="AL41" s="33">
        <f>AK41*(1+'Green+Social Interface'!$I$35)</f>
        <v>0</v>
      </c>
      <c r="AM41" s="33">
        <f>AL41*(1+'Green+Social Interface'!$I$35)</f>
        <v>0</v>
      </c>
      <c r="AN41" s="33">
        <f>AM41*(1+'Green+Social Interface'!$I$35)</f>
        <v>0</v>
      </c>
      <c r="AO41" s="33">
        <f>AN41*(1+'Green+Social Interface'!$I$35)</f>
        <v>0</v>
      </c>
      <c r="AP41" s="33">
        <f>AO41*(1+'Green+Social Interface'!$I$35)</f>
        <v>0</v>
      </c>
      <c r="AQ41" s="33">
        <f>AP41*(1+'Green+Social Interface'!$I$35)</f>
        <v>0</v>
      </c>
      <c r="AR41" s="33">
        <f>AQ41*(1+'Green+Social Interface'!$I$35)</f>
        <v>0</v>
      </c>
      <c r="AS41" s="33">
        <f>AR41*(1+'Green+Social Interface'!$I$35)</f>
        <v>0</v>
      </c>
      <c r="AT41" s="33">
        <f>AS41*(1+'Green+Social Interface'!$I$35)</f>
        <v>0</v>
      </c>
      <c r="AU41" s="33">
        <f>AT41*(1+'Green+Social Interface'!$I$35)</f>
        <v>0</v>
      </c>
      <c r="AV41" s="33">
        <f>AU41*(1+'Green+Social Interface'!$I$35)</f>
        <v>0</v>
      </c>
      <c r="AW41" s="33">
        <f>AV41*(1+'Green+Social Interface'!$I$35)</f>
        <v>0</v>
      </c>
      <c r="AX41" s="33">
        <f>AW41*(1+'Green+Social Interface'!$I$35)</f>
        <v>0</v>
      </c>
      <c r="AY41" s="33">
        <f>AX41*(1+'Green+Social Interface'!$I$35)</f>
        <v>0</v>
      </c>
      <c r="AZ41" s="33">
        <f>AY41*(1+'Green+Social Interface'!$I$35)</f>
        <v>0</v>
      </c>
      <c r="BA41" s="33">
        <f>AZ41*(1+'Green+Social Interface'!$I$35)</f>
        <v>0</v>
      </c>
    </row>
    <row r="42" spans="2:54" x14ac:dyDescent="0.25">
      <c r="B42" s="24"/>
      <c r="C42" s="25" t="s">
        <v>77</v>
      </c>
      <c r="D42" s="25" t="s">
        <v>66</v>
      </c>
      <c r="E42" s="34">
        <v>1371</v>
      </c>
      <c r="F42" s="18">
        <f>E42*VLOOKUP('Green+Social Interface'!$I$38,'Look-ups'!$A$15:$B$43,2,0)</f>
        <v>1466.97</v>
      </c>
      <c r="G42" s="27">
        <v>0.06</v>
      </c>
      <c r="H42" s="31">
        <f>(0.5*H$138)+(0.3*H$139)</f>
        <v>0</v>
      </c>
      <c r="I42" s="21">
        <f>'Green+Social Interface'!$O$6</f>
        <v>7.0000000000000007E-2</v>
      </c>
      <c r="J42" s="22"/>
      <c r="K42" s="32">
        <f t="shared" si="3"/>
        <v>0</v>
      </c>
      <c r="L42" s="32">
        <f t="shared" si="4"/>
        <v>0</v>
      </c>
      <c r="M42" s="152">
        <f t="shared" si="5"/>
        <v>0</v>
      </c>
      <c r="N42" s="33">
        <f t="shared" si="11"/>
        <v>0</v>
      </c>
      <c r="O42" s="33">
        <f>N42*(1+'Green+Social Interface'!$I$35)</f>
        <v>0</v>
      </c>
      <c r="P42" s="33">
        <f>O42*(1+'Green+Social Interface'!$I$35)</f>
        <v>0</v>
      </c>
      <c r="Q42" s="33">
        <f>P42*(1+'Green+Social Interface'!$I$35)</f>
        <v>0</v>
      </c>
      <c r="R42" s="33">
        <f>Q42*(1+'Green+Social Interface'!$I$35)</f>
        <v>0</v>
      </c>
      <c r="S42" s="33">
        <f>R42*(1+'Green+Social Interface'!$I$35)</f>
        <v>0</v>
      </c>
      <c r="T42" s="33">
        <f>S42*(1+'Green+Social Interface'!$I$35)</f>
        <v>0</v>
      </c>
      <c r="U42" s="33">
        <f>T42*(1+'Green+Social Interface'!$I$35)</f>
        <v>0</v>
      </c>
      <c r="V42" s="33">
        <f>U42*(1+'Green+Social Interface'!$I$35)</f>
        <v>0</v>
      </c>
      <c r="W42" s="33">
        <f>V42*(1+'Green+Social Interface'!$I$35)</f>
        <v>0</v>
      </c>
      <c r="X42" s="33">
        <f>W42*(1+'Green+Social Interface'!$I$35)</f>
        <v>0</v>
      </c>
      <c r="Y42" s="33">
        <f>X42*(1+'Green+Social Interface'!$I$35)</f>
        <v>0</v>
      </c>
      <c r="Z42" s="33">
        <f>Y42*(1+'Green+Social Interface'!$I$35)</f>
        <v>0</v>
      </c>
      <c r="AA42" s="33">
        <f>Z42*(1+'Green+Social Interface'!$I$35)</f>
        <v>0</v>
      </c>
      <c r="AB42" s="33">
        <f>AA42*(1+'Green+Social Interface'!$I$35)</f>
        <v>0</v>
      </c>
      <c r="AC42" s="33">
        <f>AB42*(1+'Green+Social Interface'!$I$35)</f>
        <v>0</v>
      </c>
      <c r="AD42" s="33">
        <f>AC42*(1+'Green+Social Interface'!$I$35)</f>
        <v>0</v>
      </c>
      <c r="AE42" s="33">
        <f>AD42*(1+'Green+Social Interface'!$I$35)</f>
        <v>0</v>
      </c>
      <c r="AF42" s="33">
        <f>AE42*(1+'Green+Social Interface'!$I$35)</f>
        <v>0</v>
      </c>
      <c r="AG42" s="33">
        <f>AF42*(1+'Green+Social Interface'!$I$35)</f>
        <v>0</v>
      </c>
      <c r="AH42" s="33">
        <f>AG42*(1+'Green+Social Interface'!$I$35)</f>
        <v>0</v>
      </c>
      <c r="AI42" s="33">
        <f>AH42*(1+'Green+Social Interface'!$I$35)</f>
        <v>0</v>
      </c>
      <c r="AJ42" s="33">
        <f>AI42*(1+'Green+Social Interface'!$I$35)</f>
        <v>0</v>
      </c>
      <c r="AK42" s="33">
        <f>AJ42*(1+'Green+Social Interface'!$I$35)</f>
        <v>0</v>
      </c>
      <c r="AL42" s="33">
        <f>AK42*(1+'Green+Social Interface'!$I$35)</f>
        <v>0</v>
      </c>
      <c r="AM42" s="33">
        <f>AL42*(1+'Green+Social Interface'!$I$35)</f>
        <v>0</v>
      </c>
      <c r="AN42" s="33">
        <f>AM42*(1+'Green+Social Interface'!$I$35)</f>
        <v>0</v>
      </c>
      <c r="AO42" s="33">
        <f>AN42*(1+'Green+Social Interface'!$I$35)</f>
        <v>0</v>
      </c>
      <c r="AP42" s="33">
        <f>AO42*(1+'Green+Social Interface'!$I$35)</f>
        <v>0</v>
      </c>
      <c r="AQ42" s="33">
        <f>AP42*(1+'Green+Social Interface'!$I$35)</f>
        <v>0</v>
      </c>
      <c r="AR42" s="33">
        <f>AQ42*(1+'Green+Social Interface'!$I$35)</f>
        <v>0</v>
      </c>
      <c r="AS42" s="33">
        <f>AR42*(1+'Green+Social Interface'!$I$35)</f>
        <v>0</v>
      </c>
      <c r="AT42" s="33">
        <f>AS42*(1+'Green+Social Interface'!$I$35)</f>
        <v>0</v>
      </c>
      <c r="AU42" s="33">
        <f>AT42*(1+'Green+Social Interface'!$I$35)</f>
        <v>0</v>
      </c>
      <c r="AV42" s="33">
        <f>AU42*(1+'Green+Social Interface'!$I$35)</f>
        <v>0</v>
      </c>
      <c r="AW42" s="33">
        <f>AV42*(1+'Green+Social Interface'!$I$35)</f>
        <v>0</v>
      </c>
      <c r="AX42" s="33">
        <f>AW42*(1+'Green+Social Interface'!$I$35)</f>
        <v>0</v>
      </c>
      <c r="AY42" s="33">
        <f>AX42*(1+'Green+Social Interface'!$I$35)</f>
        <v>0</v>
      </c>
      <c r="AZ42" s="33">
        <f>AY42*(1+'Green+Social Interface'!$I$35)</f>
        <v>0</v>
      </c>
      <c r="BA42" s="33">
        <f>AZ42*(1+'Green+Social Interface'!$I$35)</f>
        <v>0</v>
      </c>
    </row>
    <row r="43" spans="2:54" x14ac:dyDescent="0.25">
      <c r="B43" s="24"/>
      <c r="C43" s="25" t="s">
        <v>996</v>
      </c>
      <c r="D43" s="25" t="s">
        <v>66</v>
      </c>
      <c r="E43" s="34">
        <v>13554</v>
      </c>
      <c r="F43" s="18">
        <f>E43*VLOOKUP('Green+Social Interface'!$I$38,'Look-ups'!$A$15:$B$43,2,0)</f>
        <v>14502.78</v>
      </c>
      <c r="G43" s="27">
        <v>1</v>
      </c>
      <c r="H43" s="31">
        <f>'Green+Social Interface'!$E$10+'Green+Social Interface'!$F$10</f>
        <v>0</v>
      </c>
      <c r="I43" s="21">
        <f>'Green+Social Interface'!$O$6</f>
        <v>7.0000000000000007E-2</v>
      </c>
      <c r="J43" s="22"/>
      <c r="K43" s="32">
        <f>IF(AND($L$43&gt;0,$B$85&gt;0),$L$43/$B$85,0)</f>
        <v>0</v>
      </c>
      <c r="L43" s="32">
        <f t="shared" si="4"/>
        <v>0</v>
      </c>
      <c r="M43" s="152">
        <f t="shared" si="5"/>
        <v>0</v>
      </c>
      <c r="N43" s="33">
        <f>H43*G43*F43</f>
        <v>0</v>
      </c>
      <c r="O43" s="33">
        <f>N43*(1+'Green+Social Interface'!$I$35)*I43</f>
        <v>0</v>
      </c>
      <c r="P43" s="33">
        <f>O43*(1+'Green+Social Interface'!$I$35)</f>
        <v>0</v>
      </c>
      <c r="Q43" s="33">
        <f>P43*(1+'Green+Social Interface'!$I$35)</f>
        <v>0</v>
      </c>
      <c r="R43" s="33">
        <f>Q43*(1+'Green+Social Interface'!$I$35)</f>
        <v>0</v>
      </c>
      <c r="S43" s="33">
        <f>R43*(1+'Green+Social Interface'!$I$35)</f>
        <v>0</v>
      </c>
      <c r="T43" s="33">
        <f>S43*(1+'Green+Social Interface'!$I$35)</f>
        <v>0</v>
      </c>
      <c r="U43" s="33">
        <f>T43*(1+'Green+Social Interface'!$I$35)</f>
        <v>0</v>
      </c>
      <c r="V43" s="33">
        <f>U43*(1+'Green+Social Interface'!$I$35)</f>
        <v>0</v>
      </c>
      <c r="W43" s="33">
        <f>V43*(1+'Green+Social Interface'!$I$35)</f>
        <v>0</v>
      </c>
      <c r="X43" s="33">
        <f>W43*(1+'Green+Social Interface'!$I$35)</f>
        <v>0</v>
      </c>
      <c r="Y43" s="33">
        <f>X43*(1+'Green+Social Interface'!$I$35)</f>
        <v>0</v>
      </c>
      <c r="Z43" s="33">
        <f>Y43*(1+'Green+Social Interface'!$I$35)</f>
        <v>0</v>
      </c>
      <c r="AA43" s="33">
        <f>Z43*(1+'Green+Social Interface'!$I$35)</f>
        <v>0</v>
      </c>
      <c r="AB43" s="33">
        <f>AA43*(1+'Green+Social Interface'!$I$35)</f>
        <v>0</v>
      </c>
      <c r="AC43" s="33">
        <f>AB43*(1+'Green+Social Interface'!$I$35)</f>
        <v>0</v>
      </c>
      <c r="AD43" s="33">
        <f>AC43*(1+'Green+Social Interface'!$I$35)</f>
        <v>0</v>
      </c>
      <c r="AE43" s="33">
        <f>AD43*(1+'Green+Social Interface'!$I$35)</f>
        <v>0</v>
      </c>
      <c r="AF43" s="33">
        <f>AE43*(1+'Green+Social Interface'!$I$35)</f>
        <v>0</v>
      </c>
      <c r="AG43" s="33">
        <f>AF43*(1+'Green+Social Interface'!$I$35)</f>
        <v>0</v>
      </c>
      <c r="AH43" s="33">
        <f>AG43*(1+'Green+Social Interface'!$I$35)</f>
        <v>0</v>
      </c>
      <c r="AI43" s="33">
        <f>AH43*(1+'Green+Social Interface'!$I$35)</f>
        <v>0</v>
      </c>
      <c r="AJ43" s="33">
        <f>AI43*(1+'Green+Social Interface'!$I$35)</f>
        <v>0</v>
      </c>
      <c r="AK43" s="33">
        <f>AJ43*(1+'Green+Social Interface'!$I$35)</f>
        <v>0</v>
      </c>
      <c r="AL43" s="33">
        <f>AK43*(1+'Green+Social Interface'!$I$35)</f>
        <v>0</v>
      </c>
      <c r="AM43" s="33">
        <f>AL43*(1+'Green+Social Interface'!$I$35)</f>
        <v>0</v>
      </c>
      <c r="AN43" s="33">
        <f>AM43*(1+'Green+Social Interface'!$I$35)</f>
        <v>0</v>
      </c>
      <c r="AO43" s="33">
        <f>AN43*(1+'Green+Social Interface'!$I$35)</f>
        <v>0</v>
      </c>
      <c r="AP43" s="33">
        <f>AO43*(1+'Green+Social Interface'!$I$35)</f>
        <v>0</v>
      </c>
      <c r="AQ43" s="33">
        <f>AP43*(1+'Green+Social Interface'!$I$35)</f>
        <v>0</v>
      </c>
      <c r="AR43" s="33">
        <f>AQ43*(1+'Green+Social Interface'!$I$35)</f>
        <v>0</v>
      </c>
      <c r="AS43" s="33">
        <f>AR43*(1+'Green+Social Interface'!$I$35)</f>
        <v>0</v>
      </c>
      <c r="AT43" s="33">
        <f>AS43*(1+'Green+Social Interface'!$I$35)</f>
        <v>0</v>
      </c>
      <c r="AU43" s="33">
        <f>AT43*(1+'Green+Social Interface'!$I$35)</f>
        <v>0</v>
      </c>
      <c r="AV43" s="33">
        <f>AU43*(1+'Green+Social Interface'!$I$35)</f>
        <v>0</v>
      </c>
      <c r="AW43" s="33">
        <f>AV43*(1+'Green+Social Interface'!$I$35)</f>
        <v>0</v>
      </c>
      <c r="AX43" s="33">
        <f>AW43*(1+'Green+Social Interface'!$I$35)</f>
        <v>0</v>
      </c>
      <c r="AY43" s="33">
        <f>AX43*(1+'Green+Social Interface'!$I$35)</f>
        <v>0</v>
      </c>
      <c r="AZ43" s="33">
        <f>AY43*(1+'Green+Social Interface'!$I$35)</f>
        <v>0</v>
      </c>
      <c r="BA43" s="33">
        <f>AZ43*(1+'Green+Social Interface'!$I$35)</f>
        <v>0</v>
      </c>
    </row>
    <row r="44" spans="2:54" x14ac:dyDescent="0.25">
      <c r="B44" s="66"/>
      <c r="C44" s="67" t="s">
        <v>995</v>
      </c>
      <c r="D44" s="67" t="s">
        <v>66</v>
      </c>
      <c r="E44" s="342">
        <v>530</v>
      </c>
      <c r="F44" s="18">
        <f>E44*VLOOKUP('Green+Social Interface'!$I$38,'Look-ups'!$A$15:$B$43,2,0)</f>
        <v>567.1</v>
      </c>
      <c r="G44" s="69">
        <v>1</v>
      </c>
      <c r="H44" s="31">
        <f>'Green+Social Interface'!$E$10+'Green+Social Interface'!$F$10</f>
        <v>0</v>
      </c>
      <c r="I44" s="21">
        <v>0.08</v>
      </c>
      <c r="J44" s="22"/>
      <c r="K44" s="32">
        <f>IF(AND($L$43&gt;0,$B$85&gt;0),$L$43/$B$85,0)</f>
        <v>0</v>
      </c>
      <c r="L44" s="32">
        <f t="shared" ref="L44" si="12">AVERAGE(N44:BA44)</f>
        <v>0</v>
      </c>
      <c r="M44" s="152">
        <f t="shared" ref="M44" si="13">SUM(N44:BA44)</f>
        <v>0</v>
      </c>
      <c r="N44" s="33">
        <f>H44*G44*F44</f>
        <v>0</v>
      </c>
      <c r="O44" s="33">
        <f>N44*(1+'Green+Social Interface'!$I$35)</f>
        <v>0</v>
      </c>
      <c r="P44" s="33">
        <f>O44*(1+'Green+Social Interface'!$I$35)</f>
        <v>0</v>
      </c>
      <c r="Q44" s="33">
        <f>P44*(1+'Green+Social Interface'!$I$35)</f>
        <v>0</v>
      </c>
      <c r="R44" s="33">
        <f>Q44*(1+'Green+Social Interface'!$I$35)</f>
        <v>0</v>
      </c>
      <c r="S44" s="33">
        <f>R44*(1+'Green+Social Interface'!$I$35)</f>
        <v>0</v>
      </c>
      <c r="T44" s="33">
        <f>S44*(1+'Green+Social Interface'!$I$35)</f>
        <v>0</v>
      </c>
      <c r="U44" s="33">
        <f>T44*(1+'Green+Social Interface'!$I$35)</f>
        <v>0</v>
      </c>
      <c r="V44" s="33">
        <f>U44*(1+'Green+Social Interface'!$I$35)</f>
        <v>0</v>
      </c>
      <c r="W44" s="33">
        <f>V44*(1+'Green+Social Interface'!$I$35)</f>
        <v>0</v>
      </c>
      <c r="X44" s="33">
        <f>W44*(1+'Green+Social Interface'!$I$35)</f>
        <v>0</v>
      </c>
      <c r="Y44" s="33">
        <f>X44*(1+'Green+Social Interface'!$I$35)</f>
        <v>0</v>
      </c>
      <c r="Z44" s="33">
        <f>Y44*(1+'Green+Social Interface'!$I$35)</f>
        <v>0</v>
      </c>
      <c r="AA44" s="33">
        <f>Z44*(1+'Green+Social Interface'!$I$35)</f>
        <v>0</v>
      </c>
      <c r="AB44" s="33">
        <f>AA44*(1+'Green+Social Interface'!$I$35)</f>
        <v>0</v>
      </c>
      <c r="AC44" s="33">
        <f>AB44*(1+'Green+Social Interface'!$I$35)</f>
        <v>0</v>
      </c>
      <c r="AD44" s="33">
        <f>AC44*(1+'Green+Social Interface'!$I$35)</f>
        <v>0</v>
      </c>
      <c r="AE44" s="33">
        <f>AD44*(1+'Green+Social Interface'!$I$35)</f>
        <v>0</v>
      </c>
      <c r="AF44" s="33">
        <f>AE44*(1+'Green+Social Interface'!$I$35)</f>
        <v>0</v>
      </c>
      <c r="AG44" s="33">
        <f>AF44*(1+'Green+Social Interface'!$I$35)</f>
        <v>0</v>
      </c>
      <c r="AH44" s="33">
        <f>AG44*(1+'Green+Social Interface'!$I$35)</f>
        <v>0</v>
      </c>
      <c r="AI44" s="33">
        <f>AH44*(1+'Green+Social Interface'!$I$35)</f>
        <v>0</v>
      </c>
      <c r="AJ44" s="33">
        <f>AI44*(1+'Green+Social Interface'!$I$35)</f>
        <v>0</v>
      </c>
      <c r="AK44" s="33">
        <f>AJ44*(1+'Green+Social Interface'!$I$35)</f>
        <v>0</v>
      </c>
      <c r="AL44" s="33">
        <f>AK44*(1+'Green+Social Interface'!$I$35)</f>
        <v>0</v>
      </c>
      <c r="AM44" s="33">
        <f>AL44*(1+'Green+Social Interface'!$I$35)</f>
        <v>0</v>
      </c>
      <c r="AN44" s="33">
        <f>AM44*(1+'Green+Social Interface'!$I$35)</f>
        <v>0</v>
      </c>
      <c r="AO44" s="33">
        <f>AN44*(1+'Green+Social Interface'!$I$35)</f>
        <v>0</v>
      </c>
      <c r="AP44" s="33">
        <f>AO44*(1+'Green+Social Interface'!$I$35)</f>
        <v>0</v>
      </c>
      <c r="AQ44" s="33">
        <f>AP44*(1+'Green+Social Interface'!$I$35)</f>
        <v>0</v>
      </c>
      <c r="AR44" s="33">
        <f>AQ44*(1+'Green+Social Interface'!$I$35)</f>
        <v>0</v>
      </c>
      <c r="AS44" s="33">
        <f>AR44*(1+'Green+Social Interface'!$I$35)</f>
        <v>0</v>
      </c>
      <c r="AT44" s="33">
        <f>AS44*(1+'Green+Social Interface'!$I$35)</f>
        <v>0</v>
      </c>
      <c r="AU44" s="33">
        <f>AT44*(1+'Green+Social Interface'!$I$35)</f>
        <v>0</v>
      </c>
      <c r="AV44" s="33">
        <f>AU44*(1+'Green+Social Interface'!$I$35)</f>
        <v>0</v>
      </c>
      <c r="AW44" s="33">
        <f>AV44*(1+'Green+Social Interface'!$I$35)</f>
        <v>0</v>
      </c>
      <c r="AX44" s="33">
        <f>AW44*(1+'Green+Social Interface'!$I$35)</f>
        <v>0</v>
      </c>
      <c r="AY44" s="33">
        <f>AX44*(1+'Green+Social Interface'!$I$35)</f>
        <v>0</v>
      </c>
      <c r="AZ44" s="33">
        <f>AY44*(1+'Green+Social Interface'!$I$35)</f>
        <v>0</v>
      </c>
      <c r="BA44" s="33">
        <f>AZ44*(1+'Green+Social Interface'!$I$35)</f>
        <v>0</v>
      </c>
    </row>
    <row r="45" spans="2:54" x14ac:dyDescent="0.25">
      <c r="B45" s="35"/>
      <c r="C45" s="36" t="s">
        <v>846</v>
      </c>
      <c r="D45" s="36" t="s">
        <v>66</v>
      </c>
      <c r="E45" s="37">
        <v>38</v>
      </c>
      <c r="F45" s="18">
        <f>E45*VLOOKUP('Green+Social Interface'!$I$38,'Look-ups'!$A$15:$B$43,2,0)</f>
        <v>40.660000000000004</v>
      </c>
      <c r="G45" s="38">
        <v>1</v>
      </c>
      <c r="H45" s="39">
        <f>H$141</f>
        <v>0</v>
      </c>
      <c r="I45" s="21">
        <f>'Green+Social Interface'!$O$6</f>
        <v>7.0000000000000007E-2</v>
      </c>
      <c r="J45" s="22"/>
      <c r="K45" s="70">
        <f>IF(AND(L45&gt;0,$B$85&gt;0),L45/$B$85,0)</f>
        <v>0</v>
      </c>
      <c r="L45" s="70">
        <f t="shared" si="4"/>
        <v>0</v>
      </c>
      <c r="M45" s="153">
        <f t="shared" si="5"/>
        <v>0</v>
      </c>
      <c r="N45" s="40">
        <f t="shared" si="11"/>
        <v>0</v>
      </c>
      <c r="O45" s="33">
        <f>N45*(1+'Green+Social Interface'!$I$35)</f>
        <v>0</v>
      </c>
      <c r="P45" s="33">
        <f>O45*(1+'Green+Social Interface'!$I$35)</f>
        <v>0</v>
      </c>
      <c r="Q45" s="33">
        <f>P45*(1+'Green+Social Interface'!$I$35)</f>
        <v>0</v>
      </c>
      <c r="R45" s="33">
        <f>Q45*(1+'Green+Social Interface'!$I$35)</f>
        <v>0</v>
      </c>
      <c r="S45" s="33">
        <f>R45*(1+'Green+Social Interface'!$I$35)</f>
        <v>0</v>
      </c>
      <c r="T45" s="33">
        <f>S45*(1+'Green+Social Interface'!$I$35)</f>
        <v>0</v>
      </c>
      <c r="U45" s="33">
        <f>T45*(1+'Green+Social Interface'!$I$35)</f>
        <v>0</v>
      </c>
      <c r="V45" s="33">
        <f>U45*(1+'Green+Social Interface'!$I$35)</f>
        <v>0</v>
      </c>
      <c r="W45" s="33">
        <f>V45*(1+'Green+Social Interface'!$I$35)</f>
        <v>0</v>
      </c>
      <c r="X45" s="33">
        <f>W45*(1+'Green+Social Interface'!$I$35)</f>
        <v>0</v>
      </c>
      <c r="Y45" s="33">
        <f>X45*(1+'Green+Social Interface'!$I$35)</f>
        <v>0</v>
      </c>
      <c r="Z45" s="33">
        <f>Y45*(1+'Green+Social Interface'!$I$35)</f>
        <v>0</v>
      </c>
      <c r="AA45" s="33">
        <f>Z45*(1+'Green+Social Interface'!$I$35)</f>
        <v>0</v>
      </c>
      <c r="AB45" s="33">
        <f>AA45*(1+'Green+Social Interface'!$I$35)</f>
        <v>0</v>
      </c>
      <c r="AC45" s="33">
        <f>AB45*(1+'Green+Social Interface'!$I$35)</f>
        <v>0</v>
      </c>
      <c r="AD45" s="33">
        <f>AC45*(1+'Green+Social Interface'!$I$35)</f>
        <v>0</v>
      </c>
      <c r="AE45" s="33">
        <f>AD45*(1+'Green+Social Interface'!$I$35)</f>
        <v>0</v>
      </c>
      <c r="AF45" s="33">
        <f>AE45*(1+'Green+Social Interface'!$I$35)</f>
        <v>0</v>
      </c>
      <c r="AG45" s="33">
        <f>AF45*(1+'Green+Social Interface'!$I$35)</f>
        <v>0</v>
      </c>
      <c r="AH45" s="33">
        <f>AG45*(1+'Green+Social Interface'!$I$35)</f>
        <v>0</v>
      </c>
      <c r="AI45" s="33">
        <f>AH45*(1+'Green+Social Interface'!$I$35)</f>
        <v>0</v>
      </c>
      <c r="AJ45" s="33">
        <f>AI45*(1+'Green+Social Interface'!$I$35)</f>
        <v>0</v>
      </c>
      <c r="AK45" s="33">
        <f>AJ45*(1+'Green+Social Interface'!$I$35)</f>
        <v>0</v>
      </c>
      <c r="AL45" s="33">
        <f>AK45*(1+'Green+Social Interface'!$I$35)</f>
        <v>0</v>
      </c>
      <c r="AM45" s="33">
        <f>AL45*(1+'Green+Social Interface'!$I$35)</f>
        <v>0</v>
      </c>
      <c r="AN45" s="33">
        <f>AM45*(1+'Green+Social Interface'!$I$35)</f>
        <v>0</v>
      </c>
      <c r="AO45" s="33">
        <f>AN45*(1+'Green+Social Interface'!$I$35)</f>
        <v>0</v>
      </c>
      <c r="AP45" s="33">
        <f>AO45*(1+'Green+Social Interface'!$I$35)</f>
        <v>0</v>
      </c>
      <c r="AQ45" s="33">
        <f>AP45*(1+'Green+Social Interface'!$I$35)</f>
        <v>0</v>
      </c>
      <c r="AR45" s="33">
        <f>AQ45*(1+'Green+Social Interface'!$I$35)</f>
        <v>0</v>
      </c>
      <c r="AS45" s="33">
        <f>AR45*(1+'Green+Social Interface'!$I$35)</f>
        <v>0</v>
      </c>
      <c r="AT45" s="33">
        <f>AS45*(1+'Green+Social Interface'!$I$35)</f>
        <v>0</v>
      </c>
      <c r="AU45" s="33">
        <f>AT45*(1+'Green+Social Interface'!$I$35)</f>
        <v>0</v>
      </c>
      <c r="AV45" s="33">
        <f>AU45*(1+'Green+Social Interface'!$I$35)</f>
        <v>0</v>
      </c>
      <c r="AW45" s="33">
        <f>AV45*(1+'Green+Social Interface'!$I$35)</f>
        <v>0</v>
      </c>
      <c r="AX45" s="33">
        <f>AW45*(1+'Green+Social Interface'!$I$35)</f>
        <v>0</v>
      </c>
      <c r="AY45" s="33">
        <f>AX45*(1+'Green+Social Interface'!$I$35)</f>
        <v>0</v>
      </c>
      <c r="AZ45" s="33">
        <f>AY45*(1+'Green+Social Interface'!$I$35)</f>
        <v>0</v>
      </c>
      <c r="BA45" s="33">
        <f>AZ45*(1+'Green+Social Interface'!$I$35)</f>
        <v>0</v>
      </c>
    </row>
    <row r="46" spans="2:54" x14ac:dyDescent="0.25">
      <c r="B46" s="41" t="s">
        <v>78</v>
      </c>
      <c r="C46" s="42"/>
      <c r="D46" s="42" t="s">
        <v>79</v>
      </c>
      <c r="E46" s="43"/>
      <c r="F46" s="43"/>
      <c r="G46" s="44"/>
      <c r="H46" s="45"/>
      <c r="I46" s="46"/>
      <c r="J46" s="3"/>
      <c r="K46" s="163">
        <f>IF(AND(L46&gt;0,$B$85&gt;0),L46/$B$85,0)</f>
        <v>0</v>
      </c>
      <c r="L46" s="163">
        <f t="shared" si="4"/>
        <v>0</v>
      </c>
      <c r="M46" s="48">
        <f>SUM(N46:BA46)</f>
        <v>0</v>
      </c>
      <c r="N46" s="47">
        <f>SUM(N6:N11,N35:N45)</f>
        <v>0</v>
      </c>
      <c r="O46" s="47">
        <f t="shared" ref="O46:BA46" si="14">SUM(O6:O11,O35:O45)</f>
        <v>0</v>
      </c>
      <c r="P46" s="47">
        <f t="shared" si="14"/>
        <v>0</v>
      </c>
      <c r="Q46" s="47">
        <f t="shared" si="14"/>
        <v>0</v>
      </c>
      <c r="R46" s="47">
        <f t="shared" si="14"/>
        <v>0</v>
      </c>
      <c r="S46" s="47">
        <f t="shared" si="14"/>
        <v>0</v>
      </c>
      <c r="T46" s="47">
        <f t="shared" si="14"/>
        <v>0</v>
      </c>
      <c r="U46" s="47">
        <f t="shared" si="14"/>
        <v>0</v>
      </c>
      <c r="V46" s="47">
        <f t="shared" si="14"/>
        <v>0</v>
      </c>
      <c r="W46" s="47">
        <f t="shared" si="14"/>
        <v>0</v>
      </c>
      <c r="X46" s="47">
        <f t="shared" si="14"/>
        <v>0</v>
      </c>
      <c r="Y46" s="47">
        <f t="shared" si="14"/>
        <v>0</v>
      </c>
      <c r="Z46" s="47">
        <f t="shared" si="14"/>
        <v>0</v>
      </c>
      <c r="AA46" s="47">
        <f t="shared" si="14"/>
        <v>0</v>
      </c>
      <c r="AB46" s="47">
        <f t="shared" si="14"/>
        <v>0</v>
      </c>
      <c r="AC46" s="47">
        <f t="shared" si="14"/>
        <v>0</v>
      </c>
      <c r="AD46" s="47">
        <f t="shared" si="14"/>
        <v>0</v>
      </c>
      <c r="AE46" s="47">
        <f t="shared" si="14"/>
        <v>0</v>
      </c>
      <c r="AF46" s="47">
        <f t="shared" si="14"/>
        <v>0</v>
      </c>
      <c r="AG46" s="47">
        <f t="shared" si="14"/>
        <v>0</v>
      </c>
      <c r="AH46" s="47">
        <f t="shared" si="14"/>
        <v>0</v>
      </c>
      <c r="AI46" s="47">
        <f t="shared" si="14"/>
        <v>0</v>
      </c>
      <c r="AJ46" s="47">
        <f t="shared" si="14"/>
        <v>0</v>
      </c>
      <c r="AK46" s="47">
        <f t="shared" si="14"/>
        <v>0</v>
      </c>
      <c r="AL46" s="47">
        <f t="shared" si="14"/>
        <v>0</v>
      </c>
      <c r="AM46" s="47">
        <f t="shared" si="14"/>
        <v>0</v>
      </c>
      <c r="AN46" s="47">
        <f t="shared" si="14"/>
        <v>0</v>
      </c>
      <c r="AO46" s="47">
        <f t="shared" si="14"/>
        <v>0</v>
      </c>
      <c r="AP46" s="47">
        <f t="shared" si="14"/>
        <v>0</v>
      </c>
      <c r="AQ46" s="47">
        <f t="shared" si="14"/>
        <v>0</v>
      </c>
      <c r="AR46" s="47">
        <f t="shared" si="14"/>
        <v>0</v>
      </c>
      <c r="AS46" s="47">
        <f t="shared" si="14"/>
        <v>0</v>
      </c>
      <c r="AT46" s="47">
        <f t="shared" si="14"/>
        <v>0</v>
      </c>
      <c r="AU46" s="47">
        <f t="shared" si="14"/>
        <v>0</v>
      </c>
      <c r="AV46" s="47">
        <f t="shared" si="14"/>
        <v>0</v>
      </c>
      <c r="AW46" s="47">
        <f t="shared" si="14"/>
        <v>0</v>
      </c>
      <c r="AX46" s="47">
        <f t="shared" si="14"/>
        <v>0</v>
      </c>
      <c r="AY46" s="47">
        <f t="shared" si="14"/>
        <v>0</v>
      </c>
      <c r="AZ46" s="47">
        <f t="shared" si="14"/>
        <v>0</v>
      </c>
      <c r="BA46" s="47">
        <f t="shared" si="14"/>
        <v>0</v>
      </c>
    </row>
    <row r="47" spans="2:54" x14ac:dyDescent="0.25">
      <c r="B47" s="49" t="s">
        <v>80</v>
      </c>
      <c r="C47" s="50"/>
      <c r="D47" s="50" t="s">
        <v>66</v>
      </c>
      <c r="E47" s="51"/>
      <c r="F47" s="51"/>
      <c r="G47" s="52"/>
      <c r="H47" s="53"/>
      <c r="I47" s="54"/>
      <c r="J47" s="2"/>
      <c r="K47" s="162">
        <f>IF(AND(L47&lt;&gt;0,$B$85&gt;0),L47/$B$85,0)</f>
        <v>0</v>
      </c>
      <c r="L47" s="162">
        <f t="shared" si="4"/>
        <v>0</v>
      </c>
      <c r="M47" s="56">
        <f t="shared" si="5"/>
        <v>0</v>
      </c>
      <c r="N47" s="55">
        <f>N6+N7+N8+N11+N37+N41+N42+N44+N45+N9+N10+N43</f>
        <v>0</v>
      </c>
      <c r="O47" s="55">
        <f t="shared" ref="O47:BA47" si="15">O6+O7+O8+O11+O37+O41+O42+O44+O45+O9+O10+O43</f>
        <v>0</v>
      </c>
      <c r="P47" s="55">
        <f t="shared" si="15"/>
        <v>0</v>
      </c>
      <c r="Q47" s="55">
        <f t="shared" si="15"/>
        <v>0</v>
      </c>
      <c r="R47" s="55">
        <f t="shared" si="15"/>
        <v>0</v>
      </c>
      <c r="S47" s="55">
        <f t="shared" si="15"/>
        <v>0</v>
      </c>
      <c r="T47" s="55">
        <f t="shared" si="15"/>
        <v>0</v>
      </c>
      <c r="U47" s="55">
        <f t="shared" si="15"/>
        <v>0</v>
      </c>
      <c r="V47" s="55">
        <f t="shared" si="15"/>
        <v>0</v>
      </c>
      <c r="W47" s="55">
        <f t="shared" si="15"/>
        <v>0</v>
      </c>
      <c r="X47" s="55">
        <f t="shared" si="15"/>
        <v>0</v>
      </c>
      <c r="Y47" s="55">
        <f t="shared" si="15"/>
        <v>0</v>
      </c>
      <c r="Z47" s="55">
        <f t="shared" si="15"/>
        <v>0</v>
      </c>
      <c r="AA47" s="55">
        <f t="shared" si="15"/>
        <v>0</v>
      </c>
      <c r="AB47" s="55">
        <f t="shared" si="15"/>
        <v>0</v>
      </c>
      <c r="AC47" s="55">
        <f t="shared" si="15"/>
        <v>0</v>
      </c>
      <c r="AD47" s="55">
        <f t="shared" si="15"/>
        <v>0</v>
      </c>
      <c r="AE47" s="55">
        <f t="shared" si="15"/>
        <v>0</v>
      </c>
      <c r="AF47" s="55">
        <f t="shared" si="15"/>
        <v>0</v>
      </c>
      <c r="AG47" s="55">
        <f t="shared" si="15"/>
        <v>0</v>
      </c>
      <c r="AH47" s="55">
        <f t="shared" si="15"/>
        <v>0</v>
      </c>
      <c r="AI47" s="55">
        <f t="shared" si="15"/>
        <v>0</v>
      </c>
      <c r="AJ47" s="55">
        <f t="shared" si="15"/>
        <v>0</v>
      </c>
      <c r="AK47" s="55">
        <f t="shared" si="15"/>
        <v>0</v>
      </c>
      <c r="AL47" s="55">
        <f t="shared" si="15"/>
        <v>0</v>
      </c>
      <c r="AM47" s="55">
        <f t="shared" si="15"/>
        <v>0</v>
      </c>
      <c r="AN47" s="55">
        <f t="shared" si="15"/>
        <v>0</v>
      </c>
      <c r="AO47" s="55">
        <f t="shared" si="15"/>
        <v>0</v>
      </c>
      <c r="AP47" s="55">
        <f t="shared" si="15"/>
        <v>0</v>
      </c>
      <c r="AQ47" s="55">
        <f t="shared" si="15"/>
        <v>0</v>
      </c>
      <c r="AR47" s="55">
        <f t="shared" si="15"/>
        <v>0</v>
      </c>
      <c r="AS47" s="55">
        <f t="shared" si="15"/>
        <v>0</v>
      </c>
      <c r="AT47" s="55">
        <f t="shared" si="15"/>
        <v>0</v>
      </c>
      <c r="AU47" s="55">
        <f t="shared" si="15"/>
        <v>0</v>
      </c>
      <c r="AV47" s="55">
        <f t="shared" si="15"/>
        <v>0</v>
      </c>
      <c r="AW47" s="55">
        <f t="shared" si="15"/>
        <v>0</v>
      </c>
      <c r="AX47" s="55">
        <f t="shared" si="15"/>
        <v>0</v>
      </c>
      <c r="AY47" s="55">
        <f t="shared" si="15"/>
        <v>0</v>
      </c>
      <c r="AZ47" s="55">
        <f t="shared" si="15"/>
        <v>0</v>
      </c>
      <c r="BA47" s="55">
        <f t="shared" si="15"/>
        <v>0</v>
      </c>
    </row>
    <row r="48" spans="2:54" x14ac:dyDescent="0.25">
      <c r="B48" s="57" t="s">
        <v>80</v>
      </c>
      <c r="C48" s="58"/>
      <c r="D48" s="58" t="s">
        <v>70</v>
      </c>
      <c r="E48" s="59"/>
      <c r="F48" s="59"/>
      <c r="G48" s="60"/>
      <c r="H48" s="61"/>
      <c r="I48" s="62"/>
      <c r="J48" s="2"/>
      <c r="K48" s="63">
        <f>IF(AND(L48&lt;&gt;0,$B$85&gt;0),L48/$B$85,0)</f>
        <v>0</v>
      </c>
      <c r="L48" s="63">
        <f t="shared" si="4"/>
        <v>0</v>
      </c>
      <c r="M48" s="65">
        <f t="shared" si="5"/>
        <v>0</v>
      </c>
      <c r="N48" s="64">
        <f>SUM(N35:N36,N38:N39,N40)</f>
        <v>0</v>
      </c>
      <c r="O48" s="64">
        <f t="shared" ref="O48:BA48" si="16">SUM(O35:O36,O38:O39,O40)</f>
        <v>0</v>
      </c>
      <c r="P48" s="64">
        <f t="shared" si="16"/>
        <v>0</v>
      </c>
      <c r="Q48" s="64">
        <f t="shared" si="16"/>
        <v>0</v>
      </c>
      <c r="R48" s="64">
        <f t="shared" si="16"/>
        <v>0</v>
      </c>
      <c r="S48" s="64">
        <f t="shared" si="16"/>
        <v>0</v>
      </c>
      <c r="T48" s="64">
        <f t="shared" si="16"/>
        <v>0</v>
      </c>
      <c r="U48" s="64">
        <f t="shared" si="16"/>
        <v>0</v>
      </c>
      <c r="V48" s="64">
        <f t="shared" si="16"/>
        <v>0</v>
      </c>
      <c r="W48" s="64">
        <f t="shared" si="16"/>
        <v>0</v>
      </c>
      <c r="X48" s="64">
        <f t="shared" si="16"/>
        <v>0</v>
      </c>
      <c r="Y48" s="64">
        <f t="shared" si="16"/>
        <v>0</v>
      </c>
      <c r="Z48" s="64">
        <f t="shared" si="16"/>
        <v>0</v>
      </c>
      <c r="AA48" s="64">
        <f t="shared" si="16"/>
        <v>0</v>
      </c>
      <c r="AB48" s="64">
        <f t="shared" si="16"/>
        <v>0</v>
      </c>
      <c r="AC48" s="64">
        <f t="shared" si="16"/>
        <v>0</v>
      </c>
      <c r="AD48" s="64">
        <f t="shared" si="16"/>
        <v>0</v>
      </c>
      <c r="AE48" s="64">
        <f t="shared" si="16"/>
        <v>0</v>
      </c>
      <c r="AF48" s="64">
        <f t="shared" si="16"/>
        <v>0</v>
      </c>
      <c r="AG48" s="64">
        <f t="shared" si="16"/>
        <v>0</v>
      </c>
      <c r="AH48" s="64">
        <f t="shared" si="16"/>
        <v>0</v>
      </c>
      <c r="AI48" s="64">
        <f t="shared" si="16"/>
        <v>0</v>
      </c>
      <c r="AJ48" s="64">
        <f t="shared" si="16"/>
        <v>0</v>
      </c>
      <c r="AK48" s="64">
        <f t="shared" si="16"/>
        <v>0</v>
      </c>
      <c r="AL48" s="64">
        <f t="shared" si="16"/>
        <v>0</v>
      </c>
      <c r="AM48" s="64">
        <f t="shared" si="16"/>
        <v>0</v>
      </c>
      <c r="AN48" s="64">
        <f t="shared" si="16"/>
        <v>0</v>
      </c>
      <c r="AO48" s="64">
        <f t="shared" si="16"/>
        <v>0</v>
      </c>
      <c r="AP48" s="64">
        <f t="shared" si="16"/>
        <v>0</v>
      </c>
      <c r="AQ48" s="64">
        <f t="shared" si="16"/>
        <v>0</v>
      </c>
      <c r="AR48" s="64">
        <f t="shared" si="16"/>
        <v>0</v>
      </c>
      <c r="AS48" s="64">
        <f t="shared" si="16"/>
        <v>0</v>
      </c>
      <c r="AT48" s="64">
        <f t="shared" si="16"/>
        <v>0</v>
      </c>
      <c r="AU48" s="64">
        <f t="shared" si="16"/>
        <v>0</v>
      </c>
      <c r="AV48" s="64">
        <f t="shared" si="16"/>
        <v>0</v>
      </c>
      <c r="AW48" s="64">
        <f t="shared" si="16"/>
        <v>0</v>
      </c>
      <c r="AX48" s="64">
        <f t="shared" si="16"/>
        <v>0</v>
      </c>
      <c r="AY48" s="64">
        <f t="shared" si="16"/>
        <v>0</v>
      </c>
      <c r="AZ48" s="64">
        <f t="shared" si="16"/>
        <v>0</v>
      </c>
      <c r="BA48" s="64">
        <f t="shared" si="16"/>
        <v>0</v>
      </c>
    </row>
    <row r="49" spans="2:53" x14ac:dyDescent="0.25">
      <c r="B49" s="24" t="s">
        <v>81</v>
      </c>
      <c r="C49" s="25"/>
      <c r="D49" s="25"/>
      <c r="E49" s="26"/>
      <c r="F49" s="26"/>
      <c r="G49" s="27"/>
      <c r="H49" s="31"/>
      <c r="I49" s="30"/>
      <c r="K49" s="28"/>
      <c r="L49" s="28"/>
      <c r="M49" s="30"/>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row>
    <row r="50" spans="2:53" x14ac:dyDescent="0.25">
      <c r="B50" s="24"/>
      <c r="C50" s="25" t="s">
        <v>845</v>
      </c>
      <c r="D50" s="25" t="s">
        <v>70</v>
      </c>
      <c r="E50" s="26">
        <v>21767</v>
      </c>
      <c r="F50" s="18">
        <f>E50*VLOOKUP('Green+Social Interface'!$I$38,'Look-ups'!$A$15:$B$43,2,0)</f>
        <v>23290.690000000002</v>
      </c>
      <c r="G50" s="27">
        <v>0.5</v>
      </c>
      <c r="H50" s="20">
        <f t="shared" ref="H50:H55" si="17">H6</f>
        <v>0</v>
      </c>
      <c r="I50" s="21">
        <f>'Green+Social Interface'!$O$6</f>
        <v>7.0000000000000007E-2</v>
      </c>
      <c r="J50" s="22"/>
      <c r="K50" s="32">
        <f t="shared" ref="K50:K65" si="18">IF(AND(L50&gt;0,$B$85&gt;0),L50/$B$85,0)</f>
        <v>0</v>
      </c>
      <c r="L50" s="32">
        <f t="shared" ref="L50:L62" si="19">AVERAGE(N50:BA50)</f>
        <v>0</v>
      </c>
      <c r="M50" s="152">
        <f>SUM(N50:BA50)</f>
        <v>0</v>
      </c>
      <c r="N50" s="33">
        <f>H50*G50*F50</f>
        <v>0</v>
      </c>
      <c r="O50" s="33">
        <f>N50*(1+'Green+Social Interface'!$I$35)*I50</f>
        <v>0</v>
      </c>
      <c r="P50" s="432">
        <f>O50*(1+'Green+Social Interface'!$I$35)</f>
        <v>0</v>
      </c>
      <c r="Q50" s="33">
        <f>P50*(1+'Green+Social Interface'!$I$35)</f>
        <v>0</v>
      </c>
      <c r="R50" s="33">
        <f>Q50*(1+'Green+Social Interface'!$I$35)</f>
        <v>0</v>
      </c>
      <c r="S50" s="33">
        <f>R50*(1+'Green+Social Interface'!$I$35)</f>
        <v>0</v>
      </c>
      <c r="T50" s="33">
        <f>S50*(1+'Green+Social Interface'!$I$35)</f>
        <v>0</v>
      </c>
      <c r="U50" s="33">
        <f>T50*(1+'Green+Social Interface'!$I$35)</f>
        <v>0</v>
      </c>
      <c r="V50" s="33">
        <f>U50*(1+'Green+Social Interface'!$I$35)</f>
        <v>0</v>
      </c>
      <c r="W50" s="33">
        <f>V50*(1+'Green+Social Interface'!$I$35)</f>
        <v>0</v>
      </c>
      <c r="X50" s="33">
        <f>W50*(1+'Green+Social Interface'!$I$35)</f>
        <v>0</v>
      </c>
      <c r="Y50" s="33">
        <f>X50*(1+'Green+Social Interface'!$I$35)</f>
        <v>0</v>
      </c>
      <c r="Z50" s="33">
        <f>Y50*(1+'Green+Social Interface'!$I$35)</f>
        <v>0</v>
      </c>
      <c r="AA50" s="33">
        <f>Z50*(1+'Green+Social Interface'!$I$35)</f>
        <v>0</v>
      </c>
      <c r="AB50" s="33">
        <f>AA50*(1+'Green+Social Interface'!$I$35)</f>
        <v>0</v>
      </c>
      <c r="AC50" s="33">
        <f>AB50*(1+'Green+Social Interface'!$I$35)</f>
        <v>0</v>
      </c>
      <c r="AD50" s="33">
        <f>AC50*(1+'Green+Social Interface'!$I$35)</f>
        <v>0</v>
      </c>
      <c r="AE50" s="33">
        <f>AD50*(1+'Green+Social Interface'!$I$35)</f>
        <v>0</v>
      </c>
      <c r="AF50" s="33">
        <f>AE50*(1+'Green+Social Interface'!$I$35)</f>
        <v>0</v>
      </c>
      <c r="AG50" s="33">
        <f>AF50*(1+'Green+Social Interface'!$I$35)</f>
        <v>0</v>
      </c>
      <c r="AH50" s="33">
        <f>AG50*(1+'Green+Social Interface'!$I$35)</f>
        <v>0</v>
      </c>
      <c r="AI50" s="33">
        <f>AH50*(1+'Green+Social Interface'!$I$35)</f>
        <v>0</v>
      </c>
      <c r="AJ50" s="33">
        <f>AI50*(1+'Green+Social Interface'!$I$35)</f>
        <v>0</v>
      </c>
      <c r="AK50" s="33">
        <f>AJ50*(1+'Green+Social Interface'!$I$35)</f>
        <v>0</v>
      </c>
      <c r="AL50" s="33">
        <f>AK50*(1+'Green+Social Interface'!$I$35)</f>
        <v>0</v>
      </c>
      <c r="AM50" s="33">
        <f>AL50*(1+'Green+Social Interface'!$I$35)</f>
        <v>0</v>
      </c>
      <c r="AN50" s="33">
        <f>AM50*(1+'Green+Social Interface'!$I$35)</f>
        <v>0</v>
      </c>
      <c r="AO50" s="33">
        <f>AN50*(1+'Green+Social Interface'!$I$35)</f>
        <v>0</v>
      </c>
      <c r="AP50" s="33">
        <f>AO50*(1+'Green+Social Interface'!$I$35)</f>
        <v>0</v>
      </c>
      <c r="AQ50" s="33">
        <f>AP50*(1+'Green+Social Interface'!$I$35)</f>
        <v>0</v>
      </c>
      <c r="AR50" s="33">
        <f>AQ50*(1+'Green+Social Interface'!$I$35)</f>
        <v>0</v>
      </c>
      <c r="AS50" s="33">
        <f>AR50*(1+'Green+Social Interface'!$I$35)</f>
        <v>0</v>
      </c>
      <c r="AT50" s="33">
        <f>AS50*(1+'Green+Social Interface'!$I$35)</f>
        <v>0</v>
      </c>
      <c r="AU50" s="33">
        <f>AT50*(1+'Green+Social Interface'!$I$35)</f>
        <v>0</v>
      </c>
      <c r="AV50" s="33">
        <f>AU50*(1+'Green+Social Interface'!$I$35)</f>
        <v>0</v>
      </c>
      <c r="AW50" s="33">
        <f>AV50*(1+'Green+Social Interface'!$I$35)</f>
        <v>0</v>
      </c>
      <c r="AX50" s="33">
        <f>AW50*(1+'Green+Social Interface'!$I$35)</f>
        <v>0</v>
      </c>
      <c r="AY50" s="33">
        <f>AX50*(1+'Green+Social Interface'!$I$35)</f>
        <v>0</v>
      </c>
      <c r="AZ50" s="33">
        <f>AY50*(1+'Green+Social Interface'!$I$35)</f>
        <v>0</v>
      </c>
      <c r="BA50" s="33">
        <f>AZ50*(1+'Green+Social Interface'!$I$35)</f>
        <v>0</v>
      </c>
    </row>
    <row r="51" spans="2:53" x14ac:dyDescent="0.25">
      <c r="B51" s="24"/>
      <c r="C51" s="25" t="s">
        <v>845</v>
      </c>
      <c r="D51" s="25" t="s">
        <v>70</v>
      </c>
      <c r="E51" s="26">
        <v>21767</v>
      </c>
      <c r="F51" s="18">
        <f>E51*VLOOKUP('Green+Social Interface'!$I$38,'Look-ups'!$A$15:$B$43,2,0)</f>
        <v>23290.690000000002</v>
      </c>
      <c r="G51" s="27">
        <v>0.8</v>
      </c>
      <c r="H51" s="20">
        <f t="shared" si="17"/>
        <v>0</v>
      </c>
      <c r="I51" s="21">
        <f>'Green+Social Interface'!$O$6</f>
        <v>7.0000000000000007E-2</v>
      </c>
      <c r="J51" s="22"/>
      <c r="K51" s="168">
        <f t="shared" si="18"/>
        <v>0</v>
      </c>
      <c r="L51" s="32">
        <f>AVERAGE(N51:BA51)</f>
        <v>0</v>
      </c>
      <c r="M51" s="152">
        <f t="shared" ref="M51" si="20">SUM(N51:BA51)</f>
        <v>0</v>
      </c>
      <c r="N51" s="33">
        <f>IF('Green+Social Interface'!$J$6="Yes",'Social Infrastructure'!F51*'Social Infrastructure'!G51*'Social Infrastructure'!H51,'Social Infrastructure'!F51*'Social Infrastructure'!$G$50*'Social Infrastructure'!H51)</f>
        <v>0</v>
      </c>
      <c r="O51" s="33">
        <f>N51*(1+'Green+Social Interface'!$I$35)*I51</f>
        <v>0</v>
      </c>
      <c r="P51" s="33">
        <f>O51*(1+'Green+Social Interface'!$I$35)</f>
        <v>0</v>
      </c>
      <c r="Q51" s="33">
        <f>P51*(1+'Green+Social Interface'!$I$35)</f>
        <v>0</v>
      </c>
      <c r="R51" s="33">
        <f>Q51*(1+'Green+Social Interface'!$I$35)</f>
        <v>0</v>
      </c>
      <c r="S51" s="33">
        <f>R51*(1+'Green+Social Interface'!$I$35)</f>
        <v>0</v>
      </c>
      <c r="T51" s="33">
        <f>S51*(1+'Green+Social Interface'!$I$35)</f>
        <v>0</v>
      </c>
      <c r="U51" s="33">
        <f>T51*(1+'Green+Social Interface'!$I$35)</f>
        <v>0</v>
      </c>
      <c r="V51" s="33">
        <f>U51*(1+'Green+Social Interface'!$I$35)</f>
        <v>0</v>
      </c>
      <c r="W51" s="33">
        <f>V51*(1+'Green+Social Interface'!$I$35)</f>
        <v>0</v>
      </c>
      <c r="X51" s="33">
        <f>W51*(1+'Green+Social Interface'!$I$35)</f>
        <v>0</v>
      </c>
      <c r="Y51" s="33">
        <f>X51*(1+'Green+Social Interface'!$I$35)</f>
        <v>0</v>
      </c>
      <c r="Z51" s="33">
        <f>Y51*(1+'Green+Social Interface'!$I$35)</f>
        <v>0</v>
      </c>
      <c r="AA51" s="33">
        <f>Z51*(1+'Green+Social Interface'!$I$35)</f>
        <v>0</v>
      </c>
      <c r="AB51" s="33">
        <f>AA51*(1+'Green+Social Interface'!$I$35)</f>
        <v>0</v>
      </c>
      <c r="AC51" s="33">
        <f>AB51*(1+'Green+Social Interface'!$I$35)</f>
        <v>0</v>
      </c>
      <c r="AD51" s="33">
        <f>AC51*(1+'Green+Social Interface'!$I$35)</f>
        <v>0</v>
      </c>
      <c r="AE51" s="33">
        <f>AD51*(1+'Green+Social Interface'!$I$35)</f>
        <v>0</v>
      </c>
      <c r="AF51" s="33">
        <f>AE51*(1+'Green+Social Interface'!$I$35)</f>
        <v>0</v>
      </c>
      <c r="AG51" s="33">
        <f>AF51*(1+'Green+Social Interface'!$I$35)</f>
        <v>0</v>
      </c>
      <c r="AH51" s="33">
        <f>AG51*(1+'Green+Social Interface'!$I$35)</f>
        <v>0</v>
      </c>
      <c r="AI51" s="33">
        <f>AH51*(1+'Green+Social Interface'!$I$35)</f>
        <v>0</v>
      </c>
      <c r="AJ51" s="33">
        <f>AI51*(1+'Green+Social Interface'!$I$35)</f>
        <v>0</v>
      </c>
      <c r="AK51" s="33">
        <f>AJ51*(1+'Green+Social Interface'!$I$35)</f>
        <v>0</v>
      </c>
      <c r="AL51" s="33">
        <f>AK51*(1+'Green+Social Interface'!$I$35)</f>
        <v>0</v>
      </c>
      <c r="AM51" s="33">
        <f>AL51*(1+'Green+Social Interface'!$I$35)</f>
        <v>0</v>
      </c>
      <c r="AN51" s="33">
        <f>AM51*(1+'Green+Social Interface'!$I$35)</f>
        <v>0</v>
      </c>
      <c r="AO51" s="33">
        <f>AN51*(1+'Green+Social Interface'!$I$35)</f>
        <v>0</v>
      </c>
      <c r="AP51" s="33">
        <f>AO51*(1+'Green+Social Interface'!$I$35)</f>
        <v>0</v>
      </c>
      <c r="AQ51" s="33">
        <f>AP51*(1+'Green+Social Interface'!$I$35)</f>
        <v>0</v>
      </c>
      <c r="AR51" s="33">
        <f>AQ51*(1+'Green+Social Interface'!$I$35)</f>
        <v>0</v>
      </c>
      <c r="AS51" s="33">
        <f>AR51*(1+'Green+Social Interface'!$I$35)</f>
        <v>0</v>
      </c>
      <c r="AT51" s="33">
        <f>AS51*(1+'Green+Social Interface'!$I$35)</f>
        <v>0</v>
      </c>
      <c r="AU51" s="33">
        <f>AT51*(1+'Green+Social Interface'!$I$35)</f>
        <v>0</v>
      </c>
      <c r="AV51" s="33">
        <f>AU51*(1+'Green+Social Interface'!$I$35)</f>
        <v>0</v>
      </c>
      <c r="AW51" s="33">
        <f>AV51*(1+'Green+Social Interface'!$I$35)</f>
        <v>0</v>
      </c>
      <c r="AX51" s="33">
        <f>AW51*(1+'Green+Social Interface'!$I$35)</f>
        <v>0</v>
      </c>
      <c r="AY51" s="33">
        <f>AX51*(1+'Green+Social Interface'!$I$35)</f>
        <v>0</v>
      </c>
      <c r="AZ51" s="33">
        <f>AY51*(1+'Green+Social Interface'!$I$35)</f>
        <v>0</v>
      </c>
      <c r="BA51" s="33">
        <f>AZ51*(1+'Green+Social Interface'!$I$35)</f>
        <v>0</v>
      </c>
    </row>
    <row r="52" spans="2:53" x14ac:dyDescent="0.25">
      <c r="B52" s="24"/>
      <c r="C52" s="25" t="s">
        <v>844</v>
      </c>
      <c r="D52" s="25" t="s">
        <v>70</v>
      </c>
      <c r="E52" s="26">
        <v>11417</v>
      </c>
      <c r="F52" s="18">
        <f>E52*VLOOKUP('Green+Social Interface'!$I$38,'Look-ups'!$A$15:$B$43,2,0)</f>
        <v>12216.19</v>
      </c>
      <c r="G52" s="27">
        <v>0.8</v>
      </c>
      <c r="H52" s="20">
        <f t="shared" si="17"/>
        <v>0</v>
      </c>
      <c r="I52" s="21">
        <f>'Green+Social Interface'!$O$6</f>
        <v>7.0000000000000007E-2</v>
      </c>
      <c r="J52" s="22"/>
      <c r="K52" s="32">
        <f t="shared" si="18"/>
        <v>0</v>
      </c>
      <c r="L52" s="32">
        <f t="shared" si="19"/>
        <v>0</v>
      </c>
      <c r="M52" s="152">
        <f>SUM(N52:BA52)</f>
        <v>0</v>
      </c>
      <c r="N52" s="33">
        <f>IF('Green+Social Interface'!$J$7="Yes",'Social Infrastructure'!F52*'Social Infrastructure'!G52*'Social Infrastructure'!H52,'Social Infrastructure'!F52*'Social Infrastructure'!$G$50*'Social Infrastructure'!H52)</f>
        <v>0</v>
      </c>
      <c r="O52" s="33">
        <f>N52*(1+'Green+Social Interface'!$I$35)*I52</f>
        <v>0</v>
      </c>
      <c r="P52" s="33">
        <f>O52*(1+'Green+Social Interface'!$I$35)</f>
        <v>0</v>
      </c>
      <c r="Q52" s="33">
        <f>P52*(1+'Green+Social Interface'!$I$35)</f>
        <v>0</v>
      </c>
      <c r="R52" s="33">
        <f>Q52*(1+'Green+Social Interface'!$I$35)</f>
        <v>0</v>
      </c>
      <c r="S52" s="33">
        <f>R52*(1+'Green+Social Interface'!$I$35)</f>
        <v>0</v>
      </c>
      <c r="T52" s="33">
        <f>S52*(1+'Green+Social Interface'!$I$35)</f>
        <v>0</v>
      </c>
      <c r="U52" s="33">
        <f>T52*(1+'Green+Social Interface'!$I$35)</f>
        <v>0</v>
      </c>
      <c r="V52" s="33">
        <f>U52*(1+'Green+Social Interface'!$I$35)</f>
        <v>0</v>
      </c>
      <c r="W52" s="33">
        <f>V52*(1+'Green+Social Interface'!$I$35)</f>
        <v>0</v>
      </c>
      <c r="X52" s="33">
        <f>W52*(1+'Green+Social Interface'!$I$35)</f>
        <v>0</v>
      </c>
      <c r="Y52" s="33">
        <f>X52*(1+'Green+Social Interface'!$I$35)</f>
        <v>0</v>
      </c>
      <c r="Z52" s="33">
        <f>Y52*(1+'Green+Social Interface'!$I$35)</f>
        <v>0</v>
      </c>
      <c r="AA52" s="33">
        <f>Z52*(1+'Green+Social Interface'!$I$35)</f>
        <v>0</v>
      </c>
      <c r="AB52" s="33">
        <f>AA52*(1+'Green+Social Interface'!$I$35)</f>
        <v>0</v>
      </c>
      <c r="AC52" s="33">
        <f>AB52*(1+'Green+Social Interface'!$I$35)</f>
        <v>0</v>
      </c>
      <c r="AD52" s="33">
        <f>AC52*(1+'Green+Social Interface'!$I$35)</f>
        <v>0</v>
      </c>
      <c r="AE52" s="33">
        <f>AD52*(1+'Green+Social Interface'!$I$35)</f>
        <v>0</v>
      </c>
      <c r="AF52" s="33">
        <f>AE52*(1+'Green+Social Interface'!$I$35)</f>
        <v>0</v>
      </c>
      <c r="AG52" s="33">
        <f>AF52*(1+'Green+Social Interface'!$I$35)</f>
        <v>0</v>
      </c>
      <c r="AH52" s="33">
        <f>AG52*(1+'Green+Social Interface'!$I$35)</f>
        <v>0</v>
      </c>
      <c r="AI52" s="33">
        <f>AH52*(1+'Green+Social Interface'!$I$35)</f>
        <v>0</v>
      </c>
      <c r="AJ52" s="33">
        <f>AI52*(1+'Green+Social Interface'!$I$35)</f>
        <v>0</v>
      </c>
      <c r="AK52" s="33">
        <f>AJ52*(1+'Green+Social Interface'!$I$35)</f>
        <v>0</v>
      </c>
      <c r="AL52" s="33">
        <f>AK52*(1+'Green+Social Interface'!$I$35)</f>
        <v>0</v>
      </c>
      <c r="AM52" s="33">
        <f>AL52*(1+'Green+Social Interface'!$I$35)</f>
        <v>0</v>
      </c>
      <c r="AN52" s="33">
        <f>AM52*(1+'Green+Social Interface'!$I$35)</f>
        <v>0</v>
      </c>
      <c r="AO52" s="33">
        <f>AN52*(1+'Green+Social Interface'!$I$35)</f>
        <v>0</v>
      </c>
      <c r="AP52" s="33">
        <f>AO52*(1+'Green+Social Interface'!$I$35)</f>
        <v>0</v>
      </c>
      <c r="AQ52" s="33">
        <f>AP52*(1+'Green+Social Interface'!$I$35)</f>
        <v>0</v>
      </c>
      <c r="AR52" s="33">
        <f>AQ52*(1+'Green+Social Interface'!$I$35)</f>
        <v>0</v>
      </c>
      <c r="AS52" s="33">
        <f>AR52*(1+'Green+Social Interface'!$I$35)</f>
        <v>0</v>
      </c>
      <c r="AT52" s="33">
        <f>AS52*(1+'Green+Social Interface'!$I$35)</f>
        <v>0</v>
      </c>
      <c r="AU52" s="33">
        <f>AT52*(1+'Green+Social Interface'!$I$35)</f>
        <v>0</v>
      </c>
      <c r="AV52" s="33">
        <f>AU52*(1+'Green+Social Interface'!$I$35)</f>
        <v>0</v>
      </c>
      <c r="AW52" s="33">
        <f>AV52*(1+'Green+Social Interface'!$I$35)</f>
        <v>0</v>
      </c>
      <c r="AX52" s="33">
        <f>AW52*(1+'Green+Social Interface'!$I$35)</f>
        <v>0</v>
      </c>
      <c r="AY52" s="33">
        <f>AX52*(1+'Green+Social Interface'!$I$35)</f>
        <v>0</v>
      </c>
      <c r="AZ52" s="33">
        <f>AY52*(1+'Green+Social Interface'!$I$35)</f>
        <v>0</v>
      </c>
      <c r="BA52" s="33">
        <f>AZ52*(1+'Green+Social Interface'!$I$35)</f>
        <v>0</v>
      </c>
    </row>
    <row r="53" spans="2:53" x14ac:dyDescent="0.25">
      <c r="B53" s="24"/>
      <c r="C53" s="25" t="s">
        <v>1014</v>
      </c>
      <c r="D53" s="25" t="s">
        <v>70</v>
      </c>
      <c r="E53" s="26">
        <v>23929</v>
      </c>
      <c r="F53" s="18">
        <f>E53*VLOOKUP('Green+Social Interface'!$I$38,'Look-ups'!$A$15:$B$43,2,0)</f>
        <v>25604.030000000002</v>
      </c>
      <c r="G53" s="27">
        <v>0.8</v>
      </c>
      <c r="H53" s="20">
        <f t="shared" si="17"/>
        <v>0</v>
      </c>
      <c r="I53" s="21">
        <f>'Green+Social Interface'!$O$6</f>
        <v>7.0000000000000007E-2</v>
      </c>
      <c r="J53" s="22"/>
      <c r="K53" s="32">
        <f t="shared" si="18"/>
        <v>0</v>
      </c>
      <c r="L53" s="32">
        <f t="shared" ref="L53:L54" si="21">AVERAGE(N53:BA53)</f>
        <v>0</v>
      </c>
      <c r="M53" s="152">
        <f t="shared" ref="M53:M54" si="22">SUM(N53:BA53)</f>
        <v>0</v>
      </c>
      <c r="N53" s="33">
        <f>IF('Green+Social Interface'!$J$6="Yes",'Social Infrastructure'!F53*'Social Infrastructure'!G53*'Social Infrastructure'!H53,'Social Infrastructure'!F53*'Social Infrastructure'!$G$50*'Social Infrastructure'!H53)</f>
        <v>0</v>
      </c>
      <c r="O53" s="33">
        <f>N53*(1+'Green+Social Interface'!$I$35)*I53</f>
        <v>0</v>
      </c>
      <c r="P53" s="33">
        <f>O53*(1+'Green+Social Interface'!$I$35)</f>
        <v>0</v>
      </c>
      <c r="Q53" s="33">
        <f>P53*(1+'Green+Social Interface'!$I$35)</f>
        <v>0</v>
      </c>
      <c r="R53" s="33">
        <f>Q53*(1+'Green+Social Interface'!$I$35)</f>
        <v>0</v>
      </c>
      <c r="S53" s="33">
        <f>R53*(1+'Green+Social Interface'!$I$35)</f>
        <v>0</v>
      </c>
      <c r="T53" s="33">
        <f>S53*(1+'Green+Social Interface'!$I$35)</f>
        <v>0</v>
      </c>
      <c r="U53" s="33">
        <f>T53*(1+'Green+Social Interface'!$I$35)</f>
        <v>0</v>
      </c>
      <c r="V53" s="33">
        <f>U53*(1+'Green+Social Interface'!$I$35)</f>
        <v>0</v>
      </c>
      <c r="W53" s="33">
        <f>V53*(1+'Green+Social Interface'!$I$35)</f>
        <v>0</v>
      </c>
      <c r="X53" s="33">
        <f>W53*(1+'Green+Social Interface'!$I$35)</f>
        <v>0</v>
      </c>
      <c r="Y53" s="33">
        <f>X53*(1+'Green+Social Interface'!$I$35)</f>
        <v>0</v>
      </c>
      <c r="Z53" s="33">
        <f>Y53*(1+'Green+Social Interface'!$I$35)</f>
        <v>0</v>
      </c>
      <c r="AA53" s="33">
        <f>Z53*(1+'Green+Social Interface'!$I$35)</f>
        <v>0</v>
      </c>
      <c r="AB53" s="33">
        <f>AA53*(1+'Green+Social Interface'!$I$35)</f>
        <v>0</v>
      </c>
      <c r="AC53" s="33">
        <f>AB53*(1+'Green+Social Interface'!$I$35)</f>
        <v>0</v>
      </c>
      <c r="AD53" s="33">
        <f>AC53*(1+'Green+Social Interface'!$I$35)</f>
        <v>0</v>
      </c>
      <c r="AE53" s="33">
        <f>AD53*(1+'Green+Social Interface'!$I$35)</f>
        <v>0</v>
      </c>
      <c r="AF53" s="33">
        <f>AE53*(1+'Green+Social Interface'!$I$35)</f>
        <v>0</v>
      </c>
      <c r="AG53" s="33">
        <f>AF53*(1+'Green+Social Interface'!$I$35)</f>
        <v>0</v>
      </c>
      <c r="AH53" s="33">
        <f>AG53*(1+'Green+Social Interface'!$I$35)</f>
        <v>0</v>
      </c>
      <c r="AI53" s="33">
        <f>AH53*(1+'Green+Social Interface'!$I$35)</f>
        <v>0</v>
      </c>
      <c r="AJ53" s="33">
        <f>AI53*(1+'Green+Social Interface'!$I$35)</f>
        <v>0</v>
      </c>
      <c r="AK53" s="33">
        <f>AJ53*(1+'Green+Social Interface'!$I$35)</f>
        <v>0</v>
      </c>
      <c r="AL53" s="33">
        <f>AK53*(1+'Green+Social Interface'!$I$35)</f>
        <v>0</v>
      </c>
      <c r="AM53" s="33">
        <f>AL53*(1+'Green+Social Interface'!$I$35)</f>
        <v>0</v>
      </c>
      <c r="AN53" s="33">
        <f>AM53*(1+'Green+Social Interface'!$I$35)</f>
        <v>0</v>
      </c>
      <c r="AO53" s="33">
        <f>AN53*(1+'Green+Social Interface'!$I$35)</f>
        <v>0</v>
      </c>
      <c r="AP53" s="33">
        <f>AO53*(1+'Green+Social Interface'!$I$35)</f>
        <v>0</v>
      </c>
      <c r="AQ53" s="33">
        <f>AP53*(1+'Green+Social Interface'!$I$35)</f>
        <v>0</v>
      </c>
      <c r="AR53" s="33">
        <f>AQ53*(1+'Green+Social Interface'!$I$35)</f>
        <v>0</v>
      </c>
      <c r="AS53" s="33">
        <f>AR53*(1+'Green+Social Interface'!$I$35)</f>
        <v>0</v>
      </c>
      <c r="AT53" s="33">
        <f>AS53*(1+'Green+Social Interface'!$I$35)</f>
        <v>0</v>
      </c>
      <c r="AU53" s="33">
        <f>AT53*(1+'Green+Social Interface'!$I$35)</f>
        <v>0</v>
      </c>
      <c r="AV53" s="33">
        <f>AU53*(1+'Green+Social Interface'!$I$35)</f>
        <v>0</v>
      </c>
      <c r="AW53" s="33">
        <f>AV53*(1+'Green+Social Interface'!$I$35)</f>
        <v>0</v>
      </c>
      <c r="AX53" s="33">
        <f>AW53*(1+'Green+Social Interface'!$I$35)</f>
        <v>0</v>
      </c>
      <c r="AY53" s="33">
        <f>AX53*(1+'Green+Social Interface'!$I$35)</f>
        <v>0</v>
      </c>
      <c r="AZ53" s="33">
        <f>AY53*(1+'Green+Social Interface'!$I$35)</f>
        <v>0</v>
      </c>
      <c r="BA53" s="33">
        <f>AZ53*(1+'Green+Social Interface'!$I$35)</f>
        <v>0</v>
      </c>
    </row>
    <row r="54" spans="2:53" x14ac:dyDescent="0.25">
      <c r="B54" s="24"/>
      <c r="C54" s="25" t="s">
        <v>1015</v>
      </c>
      <c r="D54" s="25" t="s">
        <v>70</v>
      </c>
      <c r="E54" s="26">
        <v>8089</v>
      </c>
      <c r="F54" s="18">
        <f>E54*VLOOKUP('Green+Social Interface'!$I$38,'Look-ups'!$A$15:$B$43,2,0)</f>
        <v>8655.2300000000014</v>
      </c>
      <c r="G54" s="27">
        <v>0.8</v>
      </c>
      <c r="H54" s="20">
        <f t="shared" si="17"/>
        <v>0</v>
      </c>
      <c r="I54" s="21">
        <f>'Green+Social Interface'!$O$6</f>
        <v>7.0000000000000007E-2</v>
      </c>
      <c r="J54" s="22"/>
      <c r="K54" s="32">
        <f t="shared" si="18"/>
        <v>0</v>
      </c>
      <c r="L54" s="32">
        <f t="shared" si="21"/>
        <v>0</v>
      </c>
      <c r="M54" s="152">
        <f t="shared" si="22"/>
        <v>0</v>
      </c>
      <c r="N54" s="33">
        <f>IF('Green+Social Interface'!$J$7="Yes",'Social Infrastructure'!F54*'Social Infrastructure'!G54*'Social Infrastructure'!H54,'Social Infrastructure'!F54*'Social Infrastructure'!$G$50*'Social Infrastructure'!H54)</f>
        <v>0</v>
      </c>
      <c r="O54" s="33">
        <f>N54*(1+'Green+Social Interface'!$I$35)*I54</f>
        <v>0</v>
      </c>
      <c r="P54" s="33">
        <f>O54*(1+'Green+Social Interface'!$I$35)</f>
        <v>0</v>
      </c>
      <c r="Q54" s="33">
        <f>P54*(1+'Green+Social Interface'!$I$35)</f>
        <v>0</v>
      </c>
      <c r="R54" s="33">
        <f>Q54*(1+'Green+Social Interface'!$I$35)</f>
        <v>0</v>
      </c>
      <c r="S54" s="33">
        <f>R54*(1+'Green+Social Interface'!$I$35)</f>
        <v>0</v>
      </c>
      <c r="T54" s="33">
        <f>S54*(1+'Green+Social Interface'!$I$35)</f>
        <v>0</v>
      </c>
      <c r="U54" s="33">
        <f>T54*(1+'Green+Social Interface'!$I$35)</f>
        <v>0</v>
      </c>
      <c r="V54" s="33">
        <f>U54*(1+'Green+Social Interface'!$I$35)</f>
        <v>0</v>
      </c>
      <c r="W54" s="33">
        <f>V54*(1+'Green+Social Interface'!$I$35)</f>
        <v>0</v>
      </c>
      <c r="X54" s="33">
        <f>W54*(1+'Green+Social Interface'!$I$35)</f>
        <v>0</v>
      </c>
      <c r="Y54" s="33">
        <f>X54*(1+'Green+Social Interface'!$I$35)</f>
        <v>0</v>
      </c>
      <c r="Z54" s="33">
        <f>Y54*(1+'Green+Social Interface'!$I$35)</f>
        <v>0</v>
      </c>
      <c r="AA54" s="33">
        <f>Z54*(1+'Green+Social Interface'!$I$35)</f>
        <v>0</v>
      </c>
      <c r="AB54" s="33">
        <f>AA54*(1+'Green+Social Interface'!$I$35)</f>
        <v>0</v>
      </c>
      <c r="AC54" s="33">
        <f>AB54*(1+'Green+Social Interface'!$I$35)</f>
        <v>0</v>
      </c>
      <c r="AD54" s="33">
        <f>AC54*(1+'Green+Social Interface'!$I$35)</f>
        <v>0</v>
      </c>
      <c r="AE54" s="33">
        <f>AD54*(1+'Green+Social Interface'!$I$35)</f>
        <v>0</v>
      </c>
      <c r="AF54" s="33">
        <f>AE54*(1+'Green+Social Interface'!$I$35)</f>
        <v>0</v>
      </c>
      <c r="AG54" s="33">
        <f>AF54*(1+'Green+Social Interface'!$I$35)</f>
        <v>0</v>
      </c>
      <c r="AH54" s="33">
        <f>AG54*(1+'Green+Social Interface'!$I$35)</f>
        <v>0</v>
      </c>
      <c r="AI54" s="33">
        <f>AH54*(1+'Green+Social Interface'!$I$35)</f>
        <v>0</v>
      </c>
      <c r="AJ54" s="33">
        <f>AI54*(1+'Green+Social Interface'!$I$35)</f>
        <v>0</v>
      </c>
      <c r="AK54" s="33">
        <f>AJ54*(1+'Green+Social Interface'!$I$35)</f>
        <v>0</v>
      </c>
      <c r="AL54" s="33">
        <f>AK54*(1+'Green+Social Interface'!$I$35)</f>
        <v>0</v>
      </c>
      <c r="AM54" s="33">
        <f>AL54*(1+'Green+Social Interface'!$I$35)</f>
        <v>0</v>
      </c>
      <c r="AN54" s="33">
        <f>AM54*(1+'Green+Social Interface'!$I$35)</f>
        <v>0</v>
      </c>
      <c r="AO54" s="33">
        <f>AN54*(1+'Green+Social Interface'!$I$35)</f>
        <v>0</v>
      </c>
      <c r="AP54" s="33">
        <f>AO54*(1+'Green+Social Interface'!$I$35)</f>
        <v>0</v>
      </c>
      <c r="AQ54" s="33">
        <f>AP54*(1+'Green+Social Interface'!$I$35)</f>
        <v>0</v>
      </c>
      <c r="AR54" s="33">
        <f>AQ54*(1+'Green+Social Interface'!$I$35)</f>
        <v>0</v>
      </c>
      <c r="AS54" s="33">
        <f>AR54*(1+'Green+Social Interface'!$I$35)</f>
        <v>0</v>
      </c>
      <c r="AT54" s="33">
        <f>AS54*(1+'Green+Social Interface'!$I$35)</f>
        <v>0</v>
      </c>
      <c r="AU54" s="33">
        <f>AT54*(1+'Green+Social Interface'!$I$35)</f>
        <v>0</v>
      </c>
      <c r="AV54" s="33">
        <f>AU54*(1+'Green+Social Interface'!$I$35)</f>
        <v>0</v>
      </c>
      <c r="AW54" s="33">
        <f>AV54*(1+'Green+Social Interface'!$I$35)</f>
        <v>0</v>
      </c>
      <c r="AX54" s="33">
        <f>AW54*(1+'Green+Social Interface'!$I$35)</f>
        <v>0</v>
      </c>
      <c r="AY54" s="33">
        <f>AX54*(1+'Green+Social Interface'!$I$35)</f>
        <v>0</v>
      </c>
      <c r="AZ54" s="33">
        <f>AY54*(1+'Green+Social Interface'!$I$35)</f>
        <v>0</v>
      </c>
      <c r="BA54" s="33">
        <f>AZ54*(1+'Green+Social Interface'!$I$35)</f>
        <v>0</v>
      </c>
    </row>
    <row r="55" spans="2:53" x14ac:dyDescent="0.25">
      <c r="B55" s="24"/>
      <c r="C55" s="25" t="s">
        <v>67</v>
      </c>
      <c r="D55" s="25" t="s">
        <v>70</v>
      </c>
      <c r="E55" s="26">
        <v>7655</v>
      </c>
      <c r="F55" s="18">
        <f>E55*VLOOKUP('Green+Social Interface'!$I$38,'Look-ups'!$A$15:$B$43,2,0)</f>
        <v>8190.85</v>
      </c>
      <c r="G55" s="27">
        <v>0.5</v>
      </c>
      <c r="H55" s="20">
        <f t="shared" si="17"/>
        <v>0</v>
      </c>
      <c r="I55" s="21">
        <f>'Green+Social Interface'!$O$6</f>
        <v>7.0000000000000007E-2</v>
      </c>
      <c r="J55" s="22"/>
      <c r="K55" s="32">
        <f t="shared" si="18"/>
        <v>0</v>
      </c>
      <c r="L55" s="32">
        <f t="shared" si="19"/>
        <v>0</v>
      </c>
      <c r="M55" s="152">
        <f>SUM(N55:BA55)</f>
        <v>0</v>
      </c>
      <c r="N55" s="33">
        <f t="shared" ref="N55:N61" si="23">H55*G55*F55</f>
        <v>0</v>
      </c>
      <c r="O55" s="33">
        <f>N55*(1+'Green+Social Interface'!$I$35)*I55</f>
        <v>0</v>
      </c>
      <c r="P55" s="33">
        <f>O55*(1+'Green+Social Interface'!$I$35)</f>
        <v>0</v>
      </c>
      <c r="Q55" s="33">
        <f>P55*(1+'Green+Social Interface'!$I$35)</f>
        <v>0</v>
      </c>
      <c r="R55" s="33">
        <f>Q55*(1+'Green+Social Interface'!$I$35)</f>
        <v>0</v>
      </c>
      <c r="S55" s="33">
        <f>R55*(1+'Green+Social Interface'!$I$35)</f>
        <v>0</v>
      </c>
      <c r="T55" s="33">
        <f>S55*(1+'Green+Social Interface'!$I$35)</f>
        <v>0</v>
      </c>
      <c r="U55" s="33">
        <f>T55*(1+'Green+Social Interface'!$I$35)</f>
        <v>0</v>
      </c>
      <c r="V55" s="33">
        <f>U55*(1+'Green+Social Interface'!$I$35)</f>
        <v>0</v>
      </c>
      <c r="W55" s="33">
        <f>V55*(1+'Green+Social Interface'!$I$35)</f>
        <v>0</v>
      </c>
      <c r="X55" s="33">
        <f>W55*(1+'Green+Social Interface'!$I$35)</f>
        <v>0</v>
      </c>
      <c r="Y55" s="33">
        <f>X55*(1+'Green+Social Interface'!$I$35)</f>
        <v>0</v>
      </c>
      <c r="Z55" s="33">
        <f>Y55*(1+'Green+Social Interface'!$I$35)</f>
        <v>0</v>
      </c>
      <c r="AA55" s="33">
        <f>Z55*(1+'Green+Social Interface'!$I$35)</f>
        <v>0</v>
      </c>
      <c r="AB55" s="33">
        <f>AA55*(1+'Green+Social Interface'!$I$35)</f>
        <v>0</v>
      </c>
      <c r="AC55" s="33">
        <f>AB55*(1+'Green+Social Interface'!$I$35)</f>
        <v>0</v>
      </c>
      <c r="AD55" s="33">
        <f>AC55*(1+'Green+Social Interface'!$I$35)</f>
        <v>0</v>
      </c>
      <c r="AE55" s="33">
        <f>AD55*(1+'Green+Social Interface'!$I$35)</f>
        <v>0</v>
      </c>
      <c r="AF55" s="33">
        <f>AE55*(1+'Green+Social Interface'!$I$35)</f>
        <v>0</v>
      </c>
      <c r="AG55" s="33">
        <f>AF55*(1+'Green+Social Interface'!$I$35)</f>
        <v>0</v>
      </c>
      <c r="AH55" s="33">
        <f>AG55*(1+'Green+Social Interface'!$I$35)</f>
        <v>0</v>
      </c>
      <c r="AI55" s="33">
        <f>AH55*(1+'Green+Social Interface'!$I$35)</f>
        <v>0</v>
      </c>
      <c r="AJ55" s="33">
        <f>AI55*(1+'Green+Social Interface'!$I$35)</f>
        <v>0</v>
      </c>
      <c r="AK55" s="33">
        <f>AJ55*(1+'Green+Social Interface'!$I$35)</f>
        <v>0</v>
      </c>
      <c r="AL55" s="33">
        <f>AK55*(1+'Green+Social Interface'!$I$35)</f>
        <v>0</v>
      </c>
      <c r="AM55" s="33">
        <f>AL55*(1+'Green+Social Interface'!$I$35)</f>
        <v>0</v>
      </c>
      <c r="AN55" s="33">
        <f>AM55*(1+'Green+Social Interface'!$I$35)</f>
        <v>0</v>
      </c>
      <c r="AO55" s="33">
        <f>AN55*(1+'Green+Social Interface'!$I$35)</f>
        <v>0</v>
      </c>
      <c r="AP55" s="33">
        <f>AO55*(1+'Green+Social Interface'!$I$35)</f>
        <v>0</v>
      </c>
      <c r="AQ55" s="33">
        <f>AP55*(1+'Green+Social Interface'!$I$35)</f>
        <v>0</v>
      </c>
      <c r="AR55" s="33">
        <f>AQ55*(1+'Green+Social Interface'!$I$35)</f>
        <v>0</v>
      </c>
      <c r="AS55" s="33">
        <f>AR55*(1+'Green+Social Interface'!$I$35)</f>
        <v>0</v>
      </c>
      <c r="AT55" s="33">
        <f>AS55*(1+'Green+Social Interface'!$I$35)</f>
        <v>0</v>
      </c>
      <c r="AU55" s="33">
        <f>AT55*(1+'Green+Social Interface'!$I$35)</f>
        <v>0</v>
      </c>
      <c r="AV55" s="33">
        <f>AU55*(1+'Green+Social Interface'!$I$35)</f>
        <v>0</v>
      </c>
      <c r="AW55" s="33">
        <f>AV55*(1+'Green+Social Interface'!$I$35)</f>
        <v>0</v>
      </c>
      <c r="AX55" s="33">
        <f>AW55*(1+'Green+Social Interface'!$I$35)</f>
        <v>0</v>
      </c>
      <c r="AY55" s="33">
        <f>AX55*(1+'Green+Social Interface'!$I$35)</f>
        <v>0</v>
      </c>
      <c r="AZ55" s="33">
        <f>AY55*(1+'Green+Social Interface'!$I$35)</f>
        <v>0</v>
      </c>
      <c r="BA55" s="33">
        <f>AZ55*(1+'Green+Social Interface'!$I$35)</f>
        <v>0</v>
      </c>
    </row>
    <row r="56" spans="2:53" x14ac:dyDescent="0.25">
      <c r="B56" s="24"/>
      <c r="C56" s="25" t="s">
        <v>1002</v>
      </c>
      <c r="D56" s="25" t="s">
        <v>70</v>
      </c>
      <c r="E56" s="26">
        <v>8301</v>
      </c>
      <c r="F56" s="18">
        <f>E56*VLOOKUP('Green+Social Interface'!$I$38,'Look-ups'!$A$15:$B$43,2,0)</f>
        <v>8882.07</v>
      </c>
      <c r="G56" s="27">
        <v>1</v>
      </c>
      <c r="H56" s="20">
        <f>'Green+Social Interface'!J11</f>
        <v>0</v>
      </c>
      <c r="I56" s="21">
        <f>'Green+Social Interface'!$O$6</f>
        <v>7.0000000000000007E-2</v>
      </c>
      <c r="J56" s="22"/>
      <c r="K56" s="32">
        <f t="shared" si="18"/>
        <v>0</v>
      </c>
      <c r="L56" s="32">
        <f t="shared" ref="L56" si="24">AVERAGE(N56:BA56)</f>
        <v>0</v>
      </c>
      <c r="M56" s="152">
        <f>SUM(N56:BA56)</f>
        <v>0</v>
      </c>
      <c r="N56" s="33">
        <f>H56*G56*F56</f>
        <v>0</v>
      </c>
      <c r="O56" s="33">
        <f>N56*(1+'Green+Social Interface'!$I$35)*I56</f>
        <v>0</v>
      </c>
      <c r="P56" s="33">
        <f>O56*(1+'Green+Social Interface'!$I$35)</f>
        <v>0</v>
      </c>
      <c r="Q56" s="33">
        <f>P56*(1+'Green+Social Interface'!$I$35)</f>
        <v>0</v>
      </c>
      <c r="R56" s="33">
        <f>Q56*(1+'Green+Social Interface'!$I$35)</f>
        <v>0</v>
      </c>
      <c r="S56" s="33">
        <f>R56*(1+'Green+Social Interface'!$I$35)</f>
        <v>0</v>
      </c>
      <c r="T56" s="33">
        <f>S56*(1+'Green+Social Interface'!$I$35)</f>
        <v>0</v>
      </c>
      <c r="U56" s="33">
        <f>T56*(1+'Green+Social Interface'!$I$35)</f>
        <v>0</v>
      </c>
      <c r="V56" s="33">
        <f>U56*(1+'Green+Social Interface'!$I$35)</f>
        <v>0</v>
      </c>
      <c r="W56" s="33">
        <f>V56*(1+'Green+Social Interface'!$I$35)</f>
        <v>0</v>
      </c>
      <c r="X56" s="33">
        <f>W56*(1+'Green+Social Interface'!$I$35)</f>
        <v>0</v>
      </c>
      <c r="Y56" s="33">
        <f>X56*(1+'Green+Social Interface'!$I$35)</f>
        <v>0</v>
      </c>
      <c r="Z56" s="33">
        <f>Y56*(1+'Green+Social Interface'!$I$35)</f>
        <v>0</v>
      </c>
      <c r="AA56" s="33">
        <f>Z56*(1+'Green+Social Interface'!$I$35)</f>
        <v>0</v>
      </c>
      <c r="AB56" s="33">
        <f>AA56*(1+'Green+Social Interface'!$I$35)</f>
        <v>0</v>
      </c>
      <c r="AC56" s="33">
        <f>AB56*(1+'Green+Social Interface'!$I$35)</f>
        <v>0</v>
      </c>
      <c r="AD56" s="33">
        <f>AC56*(1+'Green+Social Interface'!$I$35)</f>
        <v>0</v>
      </c>
      <c r="AE56" s="33">
        <f>AD56*(1+'Green+Social Interface'!$I$35)</f>
        <v>0</v>
      </c>
      <c r="AF56" s="33">
        <f>AE56*(1+'Green+Social Interface'!$I$35)</f>
        <v>0</v>
      </c>
      <c r="AG56" s="33">
        <f>AF56*(1+'Green+Social Interface'!$I$35)</f>
        <v>0</v>
      </c>
      <c r="AH56" s="33">
        <f>AG56*(1+'Green+Social Interface'!$I$35)</f>
        <v>0</v>
      </c>
      <c r="AI56" s="33">
        <f>AH56*(1+'Green+Social Interface'!$I$35)</f>
        <v>0</v>
      </c>
      <c r="AJ56" s="33">
        <f>AI56*(1+'Green+Social Interface'!$I$35)</f>
        <v>0</v>
      </c>
      <c r="AK56" s="33">
        <f>AJ56*(1+'Green+Social Interface'!$I$35)</f>
        <v>0</v>
      </c>
      <c r="AL56" s="33">
        <f>AK56*(1+'Green+Social Interface'!$I$35)</f>
        <v>0</v>
      </c>
      <c r="AM56" s="33">
        <f>AL56*(1+'Green+Social Interface'!$I$35)</f>
        <v>0</v>
      </c>
      <c r="AN56" s="33">
        <f>AM56*(1+'Green+Social Interface'!$I$35)</f>
        <v>0</v>
      </c>
      <c r="AO56" s="33">
        <f>AN56*(1+'Green+Social Interface'!$I$35)</f>
        <v>0</v>
      </c>
      <c r="AP56" s="33">
        <f>AO56*(1+'Green+Social Interface'!$I$35)</f>
        <v>0</v>
      </c>
      <c r="AQ56" s="33">
        <f>AP56*(1+'Green+Social Interface'!$I$35)</f>
        <v>0</v>
      </c>
      <c r="AR56" s="33">
        <f>AQ56*(1+'Green+Social Interface'!$I$35)</f>
        <v>0</v>
      </c>
      <c r="AS56" s="33">
        <f>AR56*(1+'Green+Social Interface'!$I$35)</f>
        <v>0</v>
      </c>
      <c r="AT56" s="33">
        <f>AS56*(1+'Green+Social Interface'!$I$35)</f>
        <v>0</v>
      </c>
      <c r="AU56" s="33">
        <f>AT56*(1+'Green+Social Interface'!$I$35)</f>
        <v>0</v>
      </c>
      <c r="AV56" s="33">
        <f>AU56*(1+'Green+Social Interface'!$I$35)</f>
        <v>0</v>
      </c>
      <c r="AW56" s="33">
        <f>AV56*(1+'Green+Social Interface'!$I$35)</f>
        <v>0</v>
      </c>
      <c r="AX56" s="33">
        <f>AW56*(1+'Green+Social Interface'!$I$35)</f>
        <v>0</v>
      </c>
      <c r="AY56" s="33">
        <f>AX56*(1+'Green+Social Interface'!$I$35)</f>
        <v>0</v>
      </c>
      <c r="AZ56" s="33">
        <f>AY56*(1+'Green+Social Interface'!$I$35)</f>
        <v>0</v>
      </c>
      <c r="BA56" s="33">
        <f>AZ56*(1+'Green+Social Interface'!$I$35)</f>
        <v>0</v>
      </c>
    </row>
    <row r="57" spans="2:53" x14ac:dyDescent="0.25">
      <c r="B57" s="24"/>
      <c r="C57" s="25" t="s">
        <v>71</v>
      </c>
      <c r="D57" s="25" t="s">
        <v>70</v>
      </c>
      <c r="E57" s="26">
        <v>4487</v>
      </c>
      <c r="F57" s="18">
        <f>E57*VLOOKUP('Green+Social Interface'!$I$38,'Look-ups'!$A$15:$B$43,2,0)</f>
        <v>4801.09</v>
      </c>
      <c r="G57" s="27">
        <v>0.25</v>
      </c>
      <c r="H57" s="31">
        <f>B85</f>
        <v>0</v>
      </c>
      <c r="I57" s="21">
        <f>'Green+Social Interface'!$O$6</f>
        <v>7.0000000000000007E-2</v>
      </c>
      <c r="J57" s="22"/>
      <c r="K57" s="32">
        <f t="shared" si="18"/>
        <v>0</v>
      </c>
      <c r="L57" s="32">
        <f t="shared" si="19"/>
        <v>0</v>
      </c>
      <c r="M57" s="152">
        <f t="shared" ref="M57:M65" si="25">SUM(N57:BA57)</f>
        <v>0</v>
      </c>
      <c r="N57" s="33">
        <f t="shared" si="23"/>
        <v>0</v>
      </c>
      <c r="O57" s="33">
        <f>N57*(1+'Green+Social Interface'!$I$35)*I57</f>
        <v>0</v>
      </c>
      <c r="P57" s="33">
        <f>O57*(1+'Green+Social Interface'!$I$35)</f>
        <v>0</v>
      </c>
      <c r="Q57" s="33">
        <f>P57*(1+'Green+Social Interface'!$I$35)</f>
        <v>0</v>
      </c>
      <c r="R57" s="33">
        <f>Q57*(1+'Green+Social Interface'!$I$35)</f>
        <v>0</v>
      </c>
      <c r="S57" s="33">
        <f>R57*(1+'Green+Social Interface'!$I$35)</f>
        <v>0</v>
      </c>
      <c r="T57" s="33">
        <f>S57*(1+'Green+Social Interface'!$I$35)</f>
        <v>0</v>
      </c>
      <c r="U57" s="33">
        <f>T57*(1+'Green+Social Interface'!$I$35)</f>
        <v>0</v>
      </c>
      <c r="V57" s="33">
        <f>U57*(1+'Green+Social Interface'!$I$35)</f>
        <v>0</v>
      </c>
      <c r="W57" s="33">
        <f>V57*(1+'Green+Social Interface'!$I$35)</f>
        <v>0</v>
      </c>
      <c r="X57" s="33">
        <f>W57*(1+'Green+Social Interface'!$I$35)</f>
        <v>0</v>
      </c>
      <c r="Y57" s="33">
        <f>X57*(1+'Green+Social Interface'!$I$35)</f>
        <v>0</v>
      </c>
      <c r="Z57" s="33">
        <f>Y57*(1+'Green+Social Interface'!$I$35)</f>
        <v>0</v>
      </c>
      <c r="AA57" s="33">
        <f>Z57*(1+'Green+Social Interface'!$I$35)</f>
        <v>0</v>
      </c>
      <c r="AB57" s="33">
        <f>AA57*(1+'Green+Social Interface'!$I$35)</f>
        <v>0</v>
      </c>
      <c r="AC57" s="33">
        <f>AB57*(1+'Green+Social Interface'!$I$35)</f>
        <v>0</v>
      </c>
      <c r="AD57" s="33">
        <f>AC57*(1+'Green+Social Interface'!$I$35)</f>
        <v>0</v>
      </c>
      <c r="AE57" s="33">
        <f>AD57*(1+'Green+Social Interface'!$I$35)</f>
        <v>0</v>
      </c>
      <c r="AF57" s="33">
        <f>AE57*(1+'Green+Social Interface'!$I$35)</f>
        <v>0</v>
      </c>
      <c r="AG57" s="33">
        <f>AF57*(1+'Green+Social Interface'!$I$35)</f>
        <v>0</v>
      </c>
      <c r="AH57" s="33">
        <f>AG57*(1+'Green+Social Interface'!$I$35)</f>
        <v>0</v>
      </c>
      <c r="AI57" s="33">
        <f>AH57*(1+'Green+Social Interface'!$I$35)</f>
        <v>0</v>
      </c>
      <c r="AJ57" s="33">
        <f>AI57*(1+'Green+Social Interface'!$I$35)</f>
        <v>0</v>
      </c>
      <c r="AK57" s="33">
        <f>AJ57*(1+'Green+Social Interface'!$I$35)</f>
        <v>0</v>
      </c>
      <c r="AL57" s="33">
        <f>AK57*(1+'Green+Social Interface'!$I$35)</f>
        <v>0</v>
      </c>
      <c r="AM57" s="33">
        <f>AL57*(1+'Green+Social Interface'!$I$35)</f>
        <v>0</v>
      </c>
      <c r="AN57" s="33">
        <f>AM57*(1+'Green+Social Interface'!$I$35)</f>
        <v>0</v>
      </c>
      <c r="AO57" s="33">
        <f>AN57*(1+'Green+Social Interface'!$I$35)</f>
        <v>0</v>
      </c>
      <c r="AP57" s="33">
        <f>AO57*(1+'Green+Social Interface'!$I$35)</f>
        <v>0</v>
      </c>
      <c r="AQ57" s="33">
        <f>AP57*(1+'Green+Social Interface'!$I$35)</f>
        <v>0</v>
      </c>
      <c r="AR57" s="33">
        <f>AQ57*(1+'Green+Social Interface'!$I$35)</f>
        <v>0</v>
      </c>
      <c r="AS57" s="33">
        <f>AR57*(1+'Green+Social Interface'!$I$35)</f>
        <v>0</v>
      </c>
      <c r="AT57" s="33">
        <f>AS57*(1+'Green+Social Interface'!$I$35)</f>
        <v>0</v>
      </c>
      <c r="AU57" s="33">
        <f>AT57*(1+'Green+Social Interface'!$I$35)</f>
        <v>0</v>
      </c>
      <c r="AV57" s="33">
        <f>AU57*(1+'Green+Social Interface'!$I$35)</f>
        <v>0</v>
      </c>
      <c r="AW57" s="33">
        <f>AV57*(1+'Green+Social Interface'!$I$35)</f>
        <v>0</v>
      </c>
      <c r="AX57" s="33">
        <f>AW57*(1+'Green+Social Interface'!$I$35)</f>
        <v>0</v>
      </c>
      <c r="AY57" s="33">
        <f>AX57*(1+'Green+Social Interface'!$I$35)</f>
        <v>0</v>
      </c>
      <c r="AZ57" s="33">
        <f>AY57*(1+'Green+Social Interface'!$I$35)</f>
        <v>0</v>
      </c>
      <c r="BA57" s="33">
        <f>AZ57*(1+'Green+Social Interface'!$I$35)</f>
        <v>0</v>
      </c>
    </row>
    <row r="58" spans="2:53" x14ac:dyDescent="0.25">
      <c r="B58" s="24"/>
      <c r="C58" s="25" t="s">
        <v>847</v>
      </c>
      <c r="D58" s="25" t="s">
        <v>70</v>
      </c>
      <c r="E58" s="26">
        <v>2363</v>
      </c>
      <c r="F58" s="18">
        <f>E58*VLOOKUP('Green+Social Interface'!$I$38,'Look-ups'!$A$15:$B$43,2,0)</f>
        <v>2528.4100000000003</v>
      </c>
      <c r="G58" s="27">
        <v>0.05</v>
      </c>
      <c r="H58" s="31">
        <f>H38</f>
        <v>0</v>
      </c>
      <c r="I58" s="21">
        <f>'Green+Social Interface'!$O$6</f>
        <v>7.0000000000000007E-2</v>
      </c>
      <c r="J58" s="22"/>
      <c r="K58" s="32">
        <f t="shared" si="18"/>
        <v>0</v>
      </c>
      <c r="L58" s="32">
        <f t="shared" si="19"/>
        <v>0</v>
      </c>
      <c r="M58" s="152">
        <f t="shared" si="25"/>
        <v>0</v>
      </c>
      <c r="N58" s="33">
        <f t="shared" si="23"/>
        <v>0</v>
      </c>
      <c r="O58" s="33">
        <f>N58*(1+'Green+Social Interface'!$I$35)*I58</f>
        <v>0</v>
      </c>
      <c r="P58" s="33">
        <f>O58*(1+'Green+Social Interface'!$I$35)</f>
        <v>0</v>
      </c>
      <c r="Q58" s="33">
        <f>P58*(1+'Green+Social Interface'!$I$35)</f>
        <v>0</v>
      </c>
      <c r="R58" s="33">
        <f>Q58*(1+'Green+Social Interface'!$I$35)</f>
        <v>0</v>
      </c>
      <c r="S58" s="33">
        <f>R58*(1+'Green+Social Interface'!$I$35)</f>
        <v>0</v>
      </c>
      <c r="T58" s="33">
        <f>S58*(1+'Green+Social Interface'!$I$35)</f>
        <v>0</v>
      </c>
      <c r="U58" s="33">
        <f>T58*(1+'Green+Social Interface'!$I$35)</f>
        <v>0</v>
      </c>
      <c r="V58" s="33">
        <f>U58*(1+'Green+Social Interface'!$I$35)</f>
        <v>0</v>
      </c>
      <c r="W58" s="33">
        <f>V58*(1+'Green+Social Interface'!$I$35)</f>
        <v>0</v>
      </c>
      <c r="X58" s="33">
        <f>W58*(1+'Green+Social Interface'!$I$35)</f>
        <v>0</v>
      </c>
      <c r="Y58" s="33">
        <f>X58*(1+'Green+Social Interface'!$I$35)</f>
        <v>0</v>
      </c>
      <c r="Z58" s="33">
        <f>Y58*(1+'Green+Social Interface'!$I$35)</f>
        <v>0</v>
      </c>
      <c r="AA58" s="33">
        <f>Z58*(1+'Green+Social Interface'!$I$35)</f>
        <v>0</v>
      </c>
      <c r="AB58" s="33">
        <f>AA58*(1+'Green+Social Interface'!$I$35)</f>
        <v>0</v>
      </c>
      <c r="AC58" s="33">
        <f>AB58*(1+'Green+Social Interface'!$I$35)</f>
        <v>0</v>
      </c>
      <c r="AD58" s="33">
        <f>AC58*(1+'Green+Social Interface'!$I$35)</f>
        <v>0</v>
      </c>
      <c r="AE58" s="33">
        <f>AD58*(1+'Green+Social Interface'!$I$35)</f>
        <v>0</v>
      </c>
      <c r="AF58" s="33">
        <f>AE58*(1+'Green+Social Interface'!$I$35)</f>
        <v>0</v>
      </c>
      <c r="AG58" s="33">
        <f>AF58*(1+'Green+Social Interface'!$I$35)</f>
        <v>0</v>
      </c>
      <c r="AH58" s="33">
        <f>AG58*(1+'Green+Social Interface'!$I$35)</f>
        <v>0</v>
      </c>
      <c r="AI58" s="33">
        <f>AH58*(1+'Green+Social Interface'!$I$35)</f>
        <v>0</v>
      </c>
      <c r="AJ58" s="33">
        <f>AI58*(1+'Green+Social Interface'!$I$35)</f>
        <v>0</v>
      </c>
      <c r="AK58" s="33">
        <f>AJ58*(1+'Green+Social Interface'!$I$35)</f>
        <v>0</v>
      </c>
      <c r="AL58" s="33">
        <f>AK58*(1+'Green+Social Interface'!$I$35)</f>
        <v>0</v>
      </c>
      <c r="AM58" s="33">
        <f>AL58*(1+'Green+Social Interface'!$I$35)</f>
        <v>0</v>
      </c>
      <c r="AN58" s="33">
        <f>AM58*(1+'Green+Social Interface'!$I$35)</f>
        <v>0</v>
      </c>
      <c r="AO58" s="33">
        <f>AN58*(1+'Green+Social Interface'!$I$35)</f>
        <v>0</v>
      </c>
      <c r="AP58" s="33">
        <f>AO58*(1+'Green+Social Interface'!$I$35)</f>
        <v>0</v>
      </c>
      <c r="AQ58" s="33">
        <f>AP58*(1+'Green+Social Interface'!$I$35)</f>
        <v>0</v>
      </c>
      <c r="AR58" s="33">
        <f>AQ58*(1+'Green+Social Interface'!$I$35)</f>
        <v>0</v>
      </c>
      <c r="AS58" s="33">
        <f>AR58*(1+'Green+Social Interface'!$I$35)</f>
        <v>0</v>
      </c>
      <c r="AT58" s="33">
        <f>AS58*(1+'Green+Social Interface'!$I$35)</f>
        <v>0</v>
      </c>
      <c r="AU58" s="33">
        <f>AT58*(1+'Green+Social Interface'!$I$35)</f>
        <v>0</v>
      </c>
      <c r="AV58" s="33">
        <f>AU58*(1+'Green+Social Interface'!$I$35)</f>
        <v>0</v>
      </c>
      <c r="AW58" s="33">
        <f>AV58*(1+'Green+Social Interface'!$I$35)</f>
        <v>0</v>
      </c>
      <c r="AX58" s="33">
        <f>AW58*(1+'Green+Social Interface'!$I$35)</f>
        <v>0</v>
      </c>
      <c r="AY58" s="33">
        <f>AX58*(1+'Green+Social Interface'!$I$35)</f>
        <v>0</v>
      </c>
      <c r="AZ58" s="33">
        <f>AY58*(1+'Green+Social Interface'!$I$35)</f>
        <v>0</v>
      </c>
      <c r="BA58" s="33">
        <f>AZ58*(1+'Green+Social Interface'!$I$35)</f>
        <v>0</v>
      </c>
    </row>
    <row r="59" spans="2:53" x14ac:dyDescent="0.25">
      <c r="B59" s="24"/>
      <c r="C59" s="25" t="s">
        <v>848</v>
      </c>
      <c r="D59" s="25" t="s">
        <v>70</v>
      </c>
      <c r="E59" s="26">
        <v>11825</v>
      </c>
      <c r="F59" s="18">
        <f>E59*VLOOKUP('Green+Social Interface'!$I$38,'Look-ups'!$A$15:$B$43,2,0)</f>
        <v>12652.75</v>
      </c>
      <c r="G59" s="27">
        <v>0.06</v>
      </c>
      <c r="H59" s="31">
        <f>H40</f>
        <v>0</v>
      </c>
      <c r="I59" s="21">
        <f>'Green+Social Interface'!$O$6</f>
        <v>7.0000000000000007E-2</v>
      </c>
      <c r="J59" s="22"/>
      <c r="K59" s="32">
        <f t="shared" si="18"/>
        <v>0</v>
      </c>
      <c r="L59" s="32">
        <f t="shared" si="19"/>
        <v>0</v>
      </c>
      <c r="M59" s="152">
        <f t="shared" si="25"/>
        <v>0</v>
      </c>
      <c r="N59" s="33">
        <f t="shared" si="23"/>
        <v>0</v>
      </c>
      <c r="O59" s="33">
        <f>N59*(1+'Green+Social Interface'!$I$35)*I59</f>
        <v>0</v>
      </c>
      <c r="P59" s="33">
        <f>O59*(1+'Green+Social Interface'!$I$35)</f>
        <v>0</v>
      </c>
      <c r="Q59" s="33">
        <f>P59*(1+'Green+Social Interface'!$I$35)</f>
        <v>0</v>
      </c>
      <c r="R59" s="33">
        <f>Q59*(1+'Green+Social Interface'!$I$35)</f>
        <v>0</v>
      </c>
      <c r="S59" s="33">
        <f>R59*(1+'Green+Social Interface'!$I$35)</f>
        <v>0</v>
      </c>
      <c r="T59" s="33">
        <f>S59*(1+'Green+Social Interface'!$I$35)</f>
        <v>0</v>
      </c>
      <c r="U59" s="33">
        <f>T59*(1+'Green+Social Interface'!$I$35)</f>
        <v>0</v>
      </c>
      <c r="V59" s="33">
        <f>U59*(1+'Green+Social Interface'!$I$35)</f>
        <v>0</v>
      </c>
      <c r="W59" s="33">
        <f>V59*(1+'Green+Social Interface'!$I$35)</f>
        <v>0</v>
      </c>
      <c r="X59" s="33">
        <f>W59*(1+'Green+Social Interface'!$I$35)</f>
        <v>0</v>
      </c>
      <c r="Y59" s="33">
        <f>X59*(1+'Green+Social Interface'!$I$35)</f>
        <v>0</v>
      </c>
      <c r="Z59" s="33">
        <f>Y59*(1+'Green+Social Interface'!$I$35)</f>
        <v>0</v>
      </c>
      <c r="AA59" s="33">
        <f>Z59*(1+'Green+Social Interface'!$I$35)</f>
        <v>0</v>
      </c>
      <c r="AB59" s="33">
        <f>AA59*(1+'Green+Social Interface'!$I$35)</f>
        <v>0</v>
      </c>
      <c r="AC59" s="33">
        <f>AB59*(1+'Green+Social Interface'!$I$35)</f>
        <v>0</v>
      </c>
      <c r="AD59" s="33">
        <f>AC59*(1+'Green+Social Interface'!$I$35)</f>
        <v>0</v>
      </c>
      <c r="AE59" s="33">
        <f>AD59*(1+'Green+Social Interface'!$I$35)</f>
        <v>0</v>
      </c>
      <c r="AF59" s="33">
        <f>AE59*(1+'Green+Social Interface'!$I$35)</f>
        <v>0</v>
      </c>
      <c r="AG59" s="33">
        <f>AF59*(1+'Green+Social Interface'!$I$35)</f>
        <v>0</v>
      </c>
      <c r="AH59" s="33">
        <f>AG59*(1+'Green+Social Interface'!$I$35)</f>
        <v>0</v>
      </c>
      <c r="AI59" s="33">
        <f>AH59*(1+'Green+Social Interface'!$I$35)</f>
        <v>0</v>
      </c>
      <c r="AJ59" s="33">
        <f>AI59*(1+'Green+Social Interface'!$I$35)</f>
        <v>0</v>
      </c>
      <c r="AK59" s="33">
        <f>AJ59*(1+'Green+Social Interface'!$I$35)</f>
        <v>0</v>
      </c>
      <c r="AL59" s="33">
        <f>AK59*(1+'Green+Social Interface'!$I$35)</f>
        <v>0</v>
      </c>
      <c r="AM59" s="33">
        <f>AL59*(1+'Green+Social Interface'!$I$35)</f>
        <v>0</v>
      </c>
      <c r="AN59" s="33">
        <f>AM59*(1+'Green+Social Interface'!$I$35)</f>
        <v>0</v>
      </c>
      <c r="AO59" s="33">
        <f>AN59*(1+'Green+Social Interface'!$I$35)</f>
        <v>0</v>
      </c>
      <c r="AP59" s="33">
        <f>AO59*(1+'Green+Social Interface'!$I$35)</f>
        <v>0</v>
      </c>
      <c r="AQ59" s="33">
        <f>AP59*(1+'Green+Social Interface'!$I$35)</f>
        <v>0</v>
      </c>
      <c r="AR59" s="33">
        <f>AQ59*(1+'Green+Social Interface'!$I$35)</f>
        <v>0</v>
      </c>
      <c r="AS59" s="33">
        <f>AR59*(1+'Green+Social Interface'!$I$35)</f>
        <v>0</v>
      </c>
      <c r="AT59" s="33">
        <f>AS59*(1+'Green+Social Interface'!$I$35)</f>
        <v>0</v>
      </c>
      <c r="AU59" s="33">
        <f>AT59*(1+'Green+Social Interface'!$I$35)</f>
        <v>0</v>
      </c>
      <c r="AV59" s="33">
        <f>AU59*(1+'Green+Social Interface'!$I$35)</f>
        <v>0</v>
      </c>
      <c r="AW59" s="33">
        <f>AV59*(1+'Green+Social Interface'!$I$35)</f>
        <v>0</v>
      </c>
      <c r="AX59" s="33">
        <f>AW59*(1+'Green+Social Interface'!$I$35)</f>
        <v>0</v>
      </c>
      <c r="AY59" s="33">
        <f>AX59*(1+'Green+Social Interface'!$I$35)</f>
        <v>0</v>
      </c>
      <c r="AZ59" s="33">
        <f>AY59*(1+'Green+Social Interface'!$I$35)</f>
        <v>0</v>
      </c>
      <c r="BA59" s="33">
        <f>AZ59*(1+'Green+Social Interface'!$I$35)</f>
        <v>0</v>
      </c>
    </row>
    <row r="60" spans="2:53" x14ac:dyDescent="0.25">
      <c r="B60" s="24"/>
      <c r="C60" s="25" t="s">
        <v>849</v>
      </c>
      <c r="D60" s="25" t="s">
        <v>70</v>
      </c>
      <c r="E60" s="26">
        <v>3070</v>
      </c>
      <c r="F60" s="18">
        <f>E60*VLOOKUP('Green+Social Interface'!$I$38,'Look-ups'!$A$15:$B$43,2,0)</f>
        <v>3284.9</v>
      </c>
      <c r="G60" s="27">
        <v>1</v>
      </c>
      <c r="H60" s="31">
        <f>H45</f>
        <v>0</v>
      </c>
      <c r="I60" s="21">
        <f>'Green+Social Interface'!$O$6</f>
        <v>7.0000000000000007E-2</v>
      </c>
      <c r="J60" s="22"/>
      <c r="K60" s="32">
        <f t="shared" si="18"/>
        <v>0</v>
      </c>
      <c r="L60" s="32">
        <f t="shared" si="19"/>
        <v>0</v>
      </c>
      <c r="M60" s="152">
        <f t="shared" si="25"/>
        <v>0</v>
      </c>
      <c r="N60" s="33">
        <f t="shared" si="23"/>
        <v>0</v>
      </c>
      <c r="O60" s="33">
        <f>N60*(1+'Green+Social Interface'!$I$35)*I60</f>
        <v>0</v>
      </c>
      <c r="P60" s="33">
        <f>O60*(1+'Green+Social Interface'!$I$35)</f>
        <v>0</v>
      </c>
      <c r="Q60" s="33">
        <f>P60*(1+'Green+Social Interface'!$I$35)</f>
        <v>0</v>
      </c>
      <c r="R60" s="33">
        <f>Q60*(1+'Green+Social Interface'!$I$35)</f>
        <v>0</v>
      </c>
      <c r="S60" s="33">
        <f>R60*(1+'Green+Social Interface'!$I$35)</f>
        <v>0</v>
      </c>
      <c r="T60" s="33">
        <f>S60*(1+'Green+Social Interface'!$I$35)</f>
        <v>0</v>
      </c>
      <c r="U60" s="33">
        <f>T60*(1+'Green+Social Interface'!$I$35)</f>
        <v>0</v>
      </c>
      <c r="V60" s="33">
        <f>U60*(1+'Green+Social Interface'!$I$35)</f>
        <v>0</v>
      </c>
      <c r="W60" s="33">
        <f>V60*(1+'Green+Social Interface'!$I$35)</f>
        <v>0</v>
      </c>
      <c r="X60" s="33">
        <f>W60*(1+'Green+Social Interface'!$I$35)</f>
        <v>0</v>
      </c>
      <c r="Y60" s="33">
        <f>X60*(1+'Green+Social Interface'!$I$35)</f>
        <v>0</v>
      </c>
      <c r="Z60" s="33">
        <f>Y60*(1+'Green+Social Interface'!$I$35)</f>
        <v>0</v>
      </c>
      <c r="AA60" s="33">
        <f>Z60*(1+'Green+Social Interface'!$I$35)</f>
        <v>0</v>
      </c>
      <c r="AB60" s="33">
        <f>AA60*(1+'Green+Social Interface'!$I$35)</f>
        <v>0</v>
      </c>
      <c r="AC60" s="33">
        <f>AB60*(1+'Green+Social Interface'!$I$35)</f>
        <v>0</v>
      </c>
      <c r="AD60" s="33">
        <f>AC60*(1+'Green+Social Interface'!$I$35)</f>
        <v>0</v>
      </c>
      <c r="AE60" s="33">
        <f>AD60*(1+'Green+Social Interface'!$I$35)</f>
        <v>0</v>
      </c>
      <c r="AF60" s="33">
        <f>AE60*(1+'Green+Social Interface'!$I$35)</f>
        <v>0</v>
      </c>
      <c r="AG60" s="33">
        <f>AF60*(1+'Green+Social Interface'!$I$35)</f>
        <v>0</v>
      </c>
      <c r="AH60" s="33">
        <f>AG60*(1+'Green+Social Interface'!$I$35)</f>
        <v>0</v>
      </c>
      <c r="AI60" s="33">
        <f>AH60*(1+'Green+Social Interface'!$I$35)</f>
        <v>0</v>
      </c>
      <c r="AJ60" s="33">
        <f>AI60*(1+'Green+Social Interface'!$I$35)</f>
        <v>0</v>
      </c>
      <c r="AK60" s="33">
        <f>AJ60*(1+'Green+Social Interface'!$I$35)</f>
        <v>0</v>
      </c>
      <c r="AL60" s="33">
        <f>AK60*(1+'Green+Social Interface'!$I$35)</f>
        <v>0</v>
      </c>
      <c r="AM60" s="33">
        <f>AL60*(1+'Green+Social Interface'!$I$35)</f>
        <v>0</v>
      </c>
      <c r="AN60" s="33">
        <f>AM60*(1+'Green+Social Interface'!$I$35)</f>
        <v>0</v>
      </c>
      <c r="AO60" s="33">
        <f>AN60*(1+'Green+Social Interface'!$I$35)</f>
        <v>0</v>
      </c>
      <c r="AP60" s="33">
        <f>AO60*(1+'Green+Social Interface'!$I$35)</f>
        <v>0</v>
      </c>
      <c r="AQ60" s="33">
        <f>AP60*(1+'Green+Social Interface'!$I$35)</f>
        <v>0</v>
      </c>
      <c r="AR60" s="33">
        <f>AQ60*(1+'Green+Social Interface'!$I$35)</f>
        <v>0</v>
      </c>
      <c r="AS60" s="33">
        <f>AR60*(1+'Green+Social Interface'!$I$35)</f>
        <v>0</v>
      </c>
      <c r="AT60" s="33">
        <f>AS60*(1+'Green+Social Interface'!$I$35)</f>
        <v>0</v>
      </c>
      <c r="AU60" s="33">
        <f>AT60*(1+'Green+Social Interface'!$I$35)</f>
        <v>0</v>
      </c>
      <c r="AV60" s="33">
        <f>AU60*(1+'Green+Social Interface'!$I$35)</f>
        <v>0</v>
      </c>
      <c r="AW60" s="33">
        <f>AV60*(1+'Green+Social Interface'!$I$35)</f>
        <v>0</v>
      </c>
      <c r="AX60" s="33">
        <f>AW60*(1+'Green+Social Interface'!$I$35)</f>
        <v>0</v>
      </c>
      <c r="AY60" s="33">
        <f>AX60*(1+'Green+Social Interface'!$I$35)</f>
        <v>0</v>
      </c>
      <c r="AZ60" s="33">
        <f>AY60*(1+'Green+Social Interface'!$I$35)</f>
        <v>0</v>
      </c>
      <c r="BA60" s="33">
        <f>AZ60*(1+'Green+Social Interface'!$I$35)</f>
        <v>0</v>
      </c>
    </row>
    <row r="61" spans="2:53" x14ac:dyDescent="0.25">
      <c r="B61" s="66"/>
      <c r="C61" s="67" t="s">
        <v>850</v>
      </c>
      <c r="D61" s="67" t="s">
        <v>70</v>
      </c>
      <c r="E61" s="68">
        <v>7672</v>
      </c>
      <c r="F61" s="18">
        <f>E61*VLOOKUP('Green+Social Interface'!$I$38,'Look-ups'!$A$15:$B$43,2,0)</f>
        <v>8209.0400000000009</v>
      </c>
      <c r="G61" s="69">
        <v>0.06</v>
      </c>
      <c r="H61" s="31">
        <f>(0.5*H$138)+(0.3*H$139)</f>
        <v>0</v>
      </c>
      <c r="I61" s="21">
        <f>'Green+Social Interface'!$O$6</f>
        <v>7.0000000000000007E-2</v>
      </c>
      <c r="J61" s="22"/>
      <c r="K61" s="70">
        <f t="shared" si="18"/>
        <v>0</v>
      </c>
      <c r="L61" s="70">
        <f t="shared" si="19"/>
        <v>0</v>
      </c>
      <c r="M61" s="154">
        <f t="shared" si="25"/>
        <v>0</v>
      </c>
      <c r="N61" s="71">
        <f t="shared" si="23"/>
        <v>0</v>
      </c>
      <c r="O61" s="71">
        <f>N61*(1+'Green+Social Interface'!$I$35)*I61</f>
        <v>0</v>
      </c>
      <c r="P61" s="71">
        <f>O61*(1+'Green+Social Interface'!$I$35)</f>
        <v>0</v>
      </c>
      <c r="Q61" s="71">
        <f>P61*(1+'Green+Social Interface'!$I$35)</f>
        <v>0</v>
      </c>
      <c r="R61" s="71">
        <f>Q61*(1+'Green+Social Interface'!$I$35)</f>
        <v>0</v>
      </c>
      <c r="S61" s="71">
        <f>R61*(1+'Green+Social Interface'!$I$35)</f>
        <v>0</v>
      </c>
      <c r="T61" s="71">
        <f>S61*(1+'Green+Social Interface'!$I$35)</f>
        <v>0</v>
      </c>
      <c r="U61" s="71">
        <f>T61*(1+'Green+Social Interface'!$I$35)</f>
        <v>0</v>
      </c>
      <c r="V61" s="71">
        <f>U61*(1+'Green+Social Interface'!$I$35)</f>
        <v>0</v>
      </c>
      <c r="W61" s="71">
        <f>V61*(1+'Green+Social Interface'!$I$35)</f>
        <v>0</v>
      </c>
      <c r="X61" s="71">
        <f>W61*(1+'Green+Social Interface'!$I$35)</f>
        <v>0</v>
      </c>
      <c r="Y61" s="71">
        <f>X61*(1+'Green+Social Interface'!$I$35)</f>
        <v>0</v>
      </c>
      <c r="Z61" s="71">
        <f>Y61*(1+'Green+Social Interface'!$I$35)</f>
        <v>0</v>
      </c>
      <c r="AA61" s="71">
        <f>Z61*(1+'Green+Social Interface'!$I$35)</f>
        <v>0</v>
      </c>
      <c r="AB61" s="71">
        <f>AA61*(1+'Green+Social Interface'!$I$35)</f>
        <v>0</v>
      </c>
      <c r="AC61" s="71">
        <f>AB61*(1+'Green+Social Interface'!$I$35)</f>
        <v>0</v>
      </c>
      <c r="AD61" s="71">
        <f>AC61*(1+'Green+Social Interface'!$I$35)</f>
        <v>0</v>
      </c>
      <c r="AE61" s="71">
        <f>AD61*(1+'Green+Social Interface'!$I$35)</f>
        <v>0</v>
      </c>
      <c r="AF61" s="71">
        <f>AE61*(1+'Green+Social Interface'!$I$35)</f>
        <v>0</v>
      </c>
      <c r="AG61" s="71">
        <f>AF61*(1+'Green+Social Interface'!$I$35)</f>
        <v>0</v>
      </c>
      <c r="AH61" s="71">
        <f>AG61*(1+'Green+Social Interface'!$I$35)</f>
        <v>0</v>
      </c>
      <c r="AI61" s="71">
        <f>AH61*(1+'Green+Social Interface'!$I$35)</f>
        <v>0</v>
      </c>
      <c r="AJ61" s="71">
        <f>AI61*(1+'Green+Social Interface'!$I$35)</f>
        <v>0</v>
      </c>
      <c r="AK61" s="71">
        <f>AJ61*(1+'Green+Social Interface'!$I$35)</f>
        <v>0</v>
      </c>
      <c r="AL61" s="71">
        <f>AK61*(1+'Green+Social Interface'!$I$35)</f>
        <v>0</v>
      </c>
      <c r="AM61" s="71">
        <f>AL61*(1+'Green+Social Interface'!$I$35)</f>
        <v>0</v>
      </c>
      <c r="AN61" s="71">
        <f>AM61*(1+'Green+Social Interface'!$I$35)</f>
        <v>0</v>
      </c>
      <c r="AO61" s="71">
        <f>AN61*(1+'Green+Social Interface'!$I$35)</f>
        <v>0</v>
      </c>
      <c r="AP61" s="71">
        <f>AO61*(1+'Green+Social Interface'!$I$35)</f>
        <v>0</v>
      </c>
      <c r="AQ61" s="71">
        <f>AP61*(1+'Green+Social Interface'!$I$35)</f>
        <v>0</v>
      </c>
      <c r="AR61" s="71">
        <f>AQ61*(1+'Green+Social Interface'!$I$35)</f>
        <v>0</v>
      </c>
      <c r="AS61" s="71">
        <f>AR61*(1+'Green+Social Interface'!$I$35)</f>
        <v>0</v>
      </c>
      <c r="AT61" s="71">
        <f>AS61*(1+'Green+Social Interface'!$I$35)</f>
        <v>0</v>
      </c>
      <c r="AU61" s="71">
        <f>AT61*(1+'Green+Social Interface'!$I$35)</f>
        <v>0</v>
      </c>
      <c r="AV61" s="71">
        <f>AU61*(1+'Green+Social Interface'!$I$35)</f>
        <v>0</v>
      </c>
      <c r="AW61" s="71">
        <f>AV61*(1+'Green+Social Interface'!$I$35)</f>
        <v>0</v>
      </c>
      <c r="AX61" s="71">
        <f>AW61*(1+'Green+Social Interface'!$I$35)</f>
        <v>0</v>
      </c>
      <c r="AY61" s="71">
        <f>AX61*(1+'Green+Social Interface'!$I$35)</f>
        <v>0</v>
      </c>
      <c r="AZ61" s="71">
        <f>AY61*(1+'Green+Social Interface'!$I$35)</f>
        <v>0</v>
      </c>
      <c r="BA61" s="71">
        <f>AZ61*(1+'Green+Social Interface'!$I$35)</f>
        <v>0</v>
      </c>
    </row>
    <row r="62" spans="2:53" x14ac:dyDescent="0.25">
      <c r="B62" s="41" t="s">
        <v>82</v>
      </c>
      <c r="C62" s="42"/>
      <c r="D62" s="42"/>
      <c r="E62" s="42"/>
      <c r="F62" s="42"/>
      <c r="G62" s="42"/>
      <c r="H62" s="42"/>
      <c r="I62" s="46"/>
      <c r="J62" s="3"/>
      <c r="K62" s="163">
        <f t="shared" si="18"/>
        <v>0</v>
      </c>
      <c r="L62" s="163">
        <f t="shared" si="19"/>
        <v>0</v>
      </c>
      <c r="M62" s="48">
        <f t="shared" si="25"/>
        <v>0</v>
      </c>
      <c r="N62" s="47">
        <f>SUM(N50:N61)</f>
        <v>0</v>
      </c>
      <c r="O62" s="47">
        <f t="shared" ref="O62:BA62" si="26">SUM(O50:O61)</f>
        <v>0</v>
      </c>
      <c r="P62" s="47">
        <f t="shared" si="26"/>
        <v>0</v>
      </c>
      <c r="Q62" s="47">
        <f t="shared" si="26"/>
        <v>0</v>
      </c>
      <c r="R62" s="47">
        <f t="shared" si="26"/>
        <v>0</v>
      </c>
      <c r="S62" s="47">
        <f t="shared" si="26"/>
        <v>0</v>
      </c>
      <c r="T62" s="47">
        <f t="shared" si="26"/>
        <v>0</v>
      </c>
      <c r="U62" s="47">
        <f t="shared" si="26"/>
        <v>0</v>
      </c>
      <c r="V62" s="47">
        <f t="shared" si="26"/>
        <v>0</v>
      </c>
      <c r="W62" s="47">
        <f t="shared" si="26"/>
        <v>0</v>
      </c>
      <c r="X62" s="47">
        <f t="shared" si="26"/>
        <v>0</v>
      </c>
      <c r="Y62" s="47">
        <f t="shared" si="26"/>
        <v>0</v>
      </c>
      <c r="Z62" s="47">
        <f t="shared" si="26"/>
        <v>0</v>
      </c>
      <c r="AA62" s="47">
        <f t="shared" si="26"/>
        <v>0</v>
      </c>
      <c r="AB62" s="47">
        <f t="shared" si="26"/>
        <v>0</v>
      </c>
      <c r="AC62" s="47">
        <f t="shared" si="26"/>
        <v>0</v>
      </c>
      <c r="AD62" s="47">
        <f t="shared" si="26"/>
        <v>0</v>
      </c>
      <c r="AE62" s="47">
        <f t="shared" si="26"/>
        <v>0</v>
      </c>
      <c r="AF62" s="47">
        <f t="shared" si="26"/>
        <v>0</v>
      </c>
      <c r="AG62" s="47">
        <f t="shared" si="26"/>
        <v>0</v>
      </c>
      <c r="AH62" s="47">
        <f t="shared" si="26"/>
        <v>0</v>
      </c>
      <c r="AI62" s="47">
        <f t="shared" si="26"/>
        <v>0</v>
      </c>
      <c r="AJ62" s="47">
        <f t="shared" si="26"/>
        <v>0</v>
      </c>
      <c r="AK62" s="47">
        <f t="shared" si="26"/>
        <v>0</v>
      </c>
      <c r="AL62" s="47">
        <f t="shared" si="26"/>
        <v>0</v>
      </c>
      <c r="AM62" s="47">
        <f t="shared" si="26"/>
        <v>0</v>
      </c>
      <c r="AN62" s="47">
        <f t="shared" si="26"/>
        <v>0</v>
      </c>
      <c r="AO62" s="47">
        <f t="shared" si="26"/>
        <v>0</v>
      </c>
      <c r="AP62" s="47">
        <f t="shared" si="26"/>
        <v>0</v>
      </c>
      <c r="AQ62" s="47">
        <f t="shared" si="26"/>
        <v>0</v>
      </c>
      <c r="AR62" s="47">
        <f t="shared" si="26"/>
        <v>0</v>
      </c>
      <c r="AS62" s="47">
        <f t="shared" si="26"/>
        <v>0</v>
      </c>
      <c r="AT62" s="47">
        <f t="shared" si="26"/>
        <v>0</v>
      </c>
      <c r="AU62" s="47">
        <f t="shared" si="26"/>
        <v>0</v>
      </c>
      <c r="AV62" s="47">
        <f t="shared" si="26"/>
        <v>0</v>
      </c>
      <c r="AW62" s="47">
        <f t="shared" si="26"/>
        <v>0</v>
      </c>
      <c r="AX62" s="47">
        <f t="shared" si="26"/>
        <v>0</v>
      </c>
      <c r="AY62" s="47">
        <f t="shared" si="26"/>
        <v>0</v>
      </c>
      <c r="AZ62" s="47">
        <f t="shared" si="26"/>
        <v>0</v>
      </c>
      <c r="BA62" s="48">
        <f t="shared" si="26"/>
        <v>0</v>
      </c>
    </row>
    <row r="63" spans="2:53" ht="4.5" customHeight="1" x14ac:dyDescent="0.25">
      <c r="B63" s="72"/>
      <c r="C63" s="10"/>
      <c r="D63" s="10"/>
      <c r="E63" s="10"/>
      <c r="F63" s="10"/>
      <c r="G63" s="10"/>
      <c r="H63" s="10"/>
      <c r="I63" s="73"/>
      <c r="J63" s="10"/>
      <c r="K63" s="164">
        <f t="shared" si="18"/>
        <v>0</v>
      </c>
      <c r="L63" s="164"/>
      <c r="M63" s="155"/>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row>
    <row r="64" spans="2:53" x14ac:dyDescent="0.25">
      <c r="B64" s="75" t="s">
        <v>83</v>
      </c>
      <c r="C64" s="2"/>
      <c r="D64" s="2" t="s">
        <v>70</v>
      </c>
      <c r="E64" s="2"/>
      <c r="F64" s="2"/>
      <c r="G64" s="2"/>
      <c r="H64" s="2"/>
      <c r="I64" s="76"/>
      <c r="J64" s="2"/>
      <c r="K64" s="64">
        <f t="shared" si="18"/>
        <v>0</v>
      </c>
      <c r="L64" s="64">
        <f t="shared" ref="L64:L65" si="27">AVERAGE(N64:BA64)</f>
        <v>0</v>
      </c>
      <c r="M64" s="64">
        <f t="shared" ref="M64:BA64" si="28">M62+M48</f>
        <v>0</v>
      </c>
      <c r="N64" s="64">
        <f>N62+N48</f>
        <v>0</v>
      </c>
      <c r="O64" s="64">
        <f t="shared" si="28"/>
        <v>0</v>
      </c>
      <c r="P64" s="64">
        <f t="shared" si="28"/>
        <v>0</v>
      </c>
      <c r="Q64" s="64">
        <f t="shared" si="28"/>
        <v>0</v>
      </c>
      <c r="R64" s="64">
        <f t="shared" si="28"/>
        <v>0</v>
      </c>
      <c r="S64" s="64">
        <f t="shared" si="28"/>
        <v>0</v>
      </c>
      <c r="T64" s="64">
        <f t="shared" si="28"/>
        <v>0</v>
      </c>
      <c r="U64" s="64">
        <f t="shared" si="28"/>
        <v>0</v>
      </c>
      <c r="V64" s="64">
        <f t="shared" si="28"/>
        <v>0</v>
      </c>
      <c r="W64" s="64">
        <f t="shared" si="28"/>
        <v>0</v>
      </c>
      <c r="X64" s="64">
        <f t="shared" si="28"/>
        <v>0</v>
      </c>
      <c r="Y64" s="64">
        <f t="shared" si="28"/>
        <v>0</v>
      </c>
      <c r="Z64" s="64">
        <f t="shared" si="28"/>
        <v>0</v>
      </c>
      <c r="AA64" s="64">
        <f t="shared" si="28"/>
        <v>0</v>
      </c>
      <c r="AB64" s="64">
        <f t="shared" si="28"/>
        <v>0</v>
      </c>
      <c r="AC64" s="64">
        <f t="shared" si="28"/>
        <v>0</v>
      </c>
      <c r="AD64" s="64">
        <f t="shared" si="28"/>
        <v>0</v>
      </c>
      <c r="AE64" s="64">
        <f t="shared" si="28"/>
        <v>0</v>
      </c>
      <c r="AF64" s="64">
        <f t="shared" si="28"/>
        <v>0</v>
      </c>
      <c r="AG64" s="64">
        <f t="shared" si="28"/>
        <v>0</v>
      </c>
      <c r="AH64" s="64">
        <f t="shared" si="28"/>
        <v>0</v>
      </c>
      <c r="AI64" s="64">
        <f t="shared" si="28"/>
        <v>0</v>
      </c>
      <c r="AJ64" s="64">
        <f t="shared" si="28"/>
        <v>0</v>
      </c>
      <c r="AK64" s="64">
        <f t="shared" si="28"/>
        <v>0</v>
      </c>
      <c r="AL64" s="64">
        <f t="shared" si="28"/>
        <v>0</v>
      </c>
      <c r="AM64" s="64">
        <f t="shared" si="28"/>
        <v>0</v>
      </c>
      <c r="AN64" s="64">
        <f t="shared" si="28"/>
        <v>0</v>
      </c>
      <c r="AO64" s="64">
        <f t="shared" si="28"/>
        <v>0</v>
      </c>
      <c r="AP64" s="64">
        <f t="shared" si="28"/>
        <v>0</v>
      </c>
      <c r="AQ64" s="64">
        <f t="shared" si="28"/>
        <v>0</v>
      </c>
      <c r="AR64" s="64">
        <f t="shared" si="28"/>
        <v>0</v>
      </c>
      <c r="AS64" s="64">
        <f t="shared" si="28"/>
        <v>0</v>
      </c>
      <c r="AT64" s="64">
        <f t="shared" si="28"/>
        <v>0</v>
      </c>
      <c r="AU64" s="64">
        <f t="shared" si="28"/>
        <v>0</v>
      </c>
      <c r="AV64" s="64">
        <f t="shared" si="28"/>
        <v>0</v>
      </c>
      <c r="AW64" s="64">
        <f t="shared" si="28"/>
        <v>0</v>
      </c>
      <c r="AX64" s="64">
        <f t="shared" si="28"/>
        <v>0</v>
      </c>
      <c r="AY64" s="64">
        <f t="shared" si="28"/>
        <v>0</v>
      </c>
      <c r="AZ64" s="64">
        <f t="shared" si="28"/>
        <v>0</v>
      </c>
      <c r="BA64" s="64">
        <f t="shared" si="28"/>
        <v>0</v>
      </c>
    </row>
    <row r="65" spans="2:53" x14ac:dyDescent="0.25">
      <c r="B65" s="41" t="s">
        <v>84</v>
      </c>
      <c r="C65" s="42"/>
      <c r="D65" s="42"/>
      <c r="E65" s="42"/>
      <c r="F65" s="42"/>
      <c r="G65" s="42"/>
      <c r="H65" s="42"/>
      <c r="I65" s="46"/>
      <c r="J65" s="3"/>
      <c r="K65" s="163">
        <f t="shared" si="18"/>
        <v>0</v>
      </c>
      <c r="L65" s="163">
        <f t="shared" si="27"/>
        <v>0</v>
      </c>
      <c r="M65" s="48">
        <f t="shared" si="25"/>
        <v>0</v>
      </c>
      <c r="N65" s="47">
        <f>N62+N46</f>
        <v>0</v>
      </c>
      <c r="O65" s="47">
        <f t="shared" ref="O65:BA65" si="29">O62+O46</f>
        <v>0</v>
      </c>
      <c r="P65" s="47">
        <f t="shared" si="29"/>
        <v>0</v>
      </c>
      <c r="Q65" s="47">
        <f t="shared" si="29"/>
        <v>0</v>
      </c>
      <c r="R65" s="47">
        <f t="shared" si="29"/>
        <v>0</v>
      </c>
      <c r="S65" s="47">
        <f t="shared" si="29"/>
        <v>0</v>
      </c>
      <c r="T65" s="47">
        <f t="shared" si="29"/>
        <v>0</v>
      </c>
      <c r="U65" s="47">
        <f t="shared" si="29"/>
        <v>0</v>
      </c>
      <c r="V65" s="47">
        <f t="shared" si="29"/>
        <v>0</v>
      </c>
      <c r="W65" s="47">
        <f t="shared" si="29"/>
        <v>0</v>
      </c>
      <c r="X65" s="47">
        <f t="shared" si="29"/>
        <v>0</v>
      </c>
      <c r="Y65" s="47">
        <f t="shared" si="29"/>
        <v>0</v>
      </c>
      <c r="Z65" s="47">
        <f t="shared" si="29"/>
        <v>0</v>
      </c>
      <c r="AA65" s="47">
        <f t="shared" si="29"/>
        <v>0</v>
      </c>
      <c r="AB65" s="47">
        <f t="shared" si="29"/>
        <v>0</v>
      </c>
      <c r="AC65" s="47">
        <f t="shared" si="29"/>
        <v>0</v>
      </c>
      <c r="AD65" s="47">
        <f t="shared" si="29"/>
        <v>0</v>
      </c>
      <c r="AE65" s="47">
        <f t="shared" si="29"/>
        <v>0</v>
      </c>
      <c r="AF65" s="47">
        <f t="shared" si="29"/>
        <v>0</v>
      </c>
      <c r="AG65" s="47">
        <f t="shared" si="29"/>
        <v>0</v>
      </c>
      <c r="AH65" s="47">
        <f t="shared" si="29"/>
        <v>0</v>
      </c>
      <c r="AI65" s="47">
        <f t="shared" si="29"/>
        <v>0</v>
      </c>
      <c r="AJ65" s="47">
        <f t="shared" si="29"/>
        <v>0</v>
      </c>
      <c r="AK65" s="47">
        <f t="shared" si="29"/>
        <v>0</v>
      </c>
      <c r="AL65" s="47">
        <f t="shared" si="29"/>
        <v>0</v>
      </c>
      <c r="AM65" s="47">
        <f t="shared" si="29"/>
        <v>0</v>
      </c>
      <c r="AN65" s="47">
        <f t="shared" si="29"/>
        <v>0</v>
      </c>
      <c r="AO65" s="47">
        <f t="shared" si="29"/>
        <v>0</v>
      </c>
      <c r="AP65" s="47">
        <f t="shared" si="29"/>
        <v>0</v>
      </c>
      <c r="AQ65" s="47">
        <f t="shared" si="29"/>
        <v>0</v>
      </c>
      <c r="AR65" s="47">
        <f t="shared" si="29"/>
        <v>0</v>
      </c>
      <c r="AS65" s="47">
        <f t="shared" si="29"/>
        <v>0</v>
      </c>
      <c r="AT65" s="47">
        <f t="shared" si="29"/>
        <v>0</v>
      </c>
      <c r="AU65" s="47">
        <f t="shared" si="29"/>
        <v>0</v>
      </c>
      <c r="AV65" s="47">
        <f t="shared" si="29"/>
        <v>0</v>
      </c>
      <c r="AW65" s="47">
        <f t="shared" si="29"/>
        <v>0</v>
      </c>
      <c r="AX65" s="47">
        <f t="shared" si="29"/>
        <v>0</v>
      </c>
      <c r="AY65" s="47">
        <f t="shared" si="29"/>
        <v>0</v>
      </c>
      <c r="AZ65" s="47">
        <f t="shared" si="29"/>
        <v>0</v>
      </c>
      <c r="BA65" s="48">
        <f t="shared" si="29"/>
        <v>0</v>
      </c>
    </row>
    <row r="66" spans="2:53" x14ac:dyDescent="0.25">
      <c r="L66" s="164"/>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c r="BA66" s="77"/>
    </row>
    <row r="67" spans="2:53" x14ac:dyDescent="0.25">
      <c r="B67" s="41" t="s">
        <v>85</v>
      </c>
      <c r="C67" s="42" t="s">
        <v>86</v>
      </c>
      <c r="D67" s="42" t="s">
        <v>79</v>
      </c>
      <c r="E67" s="42"/>
      <c r="F67" s="42"/>
      <c r="G67" s="42"/>
      <c r="H67" s="42"/>
      <c r="I67" s="46"/>
      <c r="J67" s="3"/>
      <c r="K67" s="3"/>
      <c r="L67" s="161"/>
      <c r="M67" s="156">
        <f>NPV($C$79,N46:BA46)</f>
        <v>0</v>
      </c>
      <c r="N67" s="78"/>
    </row>
    <row r="68" spans="2:53" x14ac:dyDescent="0.25">
      <c r="B68" s="16"/>
      <c r="C68" s="17" t="s">
        <v>157</v>
      </c>
      <c r="D68" s="17" t="s">
        <v>66</v>
      </c>
      <c r="E68" s="17"/>
      <c r="F68" s="17"/>
      <c r="G68" s="17"/>
      <c r="H68" s="17"/>
      <c r="I68" s="79"/>
      <c r="L68" s="28"/>
      <c r="M68" s="157">
        <f>NPV($C$79,N47:BA47)</f>
        <v>0</v>
      </c>
    </row>
    <row r="69" spans="2:53" x14ac:dyDescent="0.25">
      <c r="B69" s="24"/>
      <c r="C69" s="25" t="s">
        <v>158</v>
      </c>
      <c r="D69" s="25" t="s">
        <v>70</v>
      </c>
      <c r="E69" s="25"/>
      <c r="F69" s="25"/>
      <c r="G69" s="25"/>
      <c r="H69" s="25"/>
      <c r="I69" s="30"/>
      <c r="L69" s="28"/>
      <c r="M69" s="158">
        <f>NPV($C$79,N48:BA48)</f>
        <v>0</v>
      </c>
    </row>
    <row r="70" spans="2:53" x14ac:dyDescent="0.25">
      <c r="B70" s="24"/>
      <c r="C70" s="25" t="s">
        <v>138</v>
      </c>
      <c r="D70" s="25" t="s">
        <v>70</v>
      </c>
      <c r="E70" s="25"/>
      <c r="F70" s="25"/>
      <c r="G70" s="25"/>
      <c r="H70" s="25"/>
      <c r="I70" s="30"/>
      <c r="L70" s="28"/>
      <c r="M70" s="158">
        <f>NPV($C$79,N62:BA62)</f>
        <v>0</v>
      </c>
    </row>
    <row r="71" spans="2:53" x14ac:dyDescent="0.25">
      <c r="B71" s="66"/>
      <c r="C71" s="67" t="s">
        <v>159</v>
      </c>
      <c r="D71" s="67" t="s">
        <v>70</v>
      </c>
      <c r="E71" s="67"/>
      <c r="F71" s="67"/>
      <c r="G71" s="67"/>
      <c r="H71" s="67"/>
      <c r="I71" s="80"/>
      <c r="L71" s="28"/>
      <c r="M71" s="159">
        <f>NPV($C$79,N64:BA64)</f>
        <v>0</v>
      </c>
    </row>
    <row r="72" spans="2:53" x14ac:dyDescent="0.25">
      <c r="B72" s="41"/>
      <c r="C72" s="42" t="s">
        <v>160</v>
      </c>
      <c r="D72" s="42" t="s">
        <v>87</v>
      </c>
      <c r="E72" s="42"/>
      <c r="F72" s="42"/>
      <c r="G72" s="42"/>
      <c r="H72" s="42"/>
      <c r="I72" s="46"/>
      <c r="J72" s="3"/>
      <c r="K72" s="3"/>
      <c r="L72" s="161"/>
      <c r="M72" s="156">
        <f>NPV($C$79,N65:BA65)</f>
        <v>0</v>
      </c>
    </row>
    <row r="73" spans="2:53" x14ac:dyDescent="0.25">
      <c r="B73" s="352"/>
      <c r="C73" s="353"/>
      <c r="D73" s="353"/>
      <c r="E73" s="353"/>
      <c r="F73" s="353"/>
      <c r="G73" s="353"/>
      <c r="H73" s="353"/>
      <c r="I73" s="354"/>
      <c r="L73" s="355"/>
      <c r="M73" s="142"/>
    </row>
    <row r="74" spans="2:53" x14ac:dyDescent="0.25">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c r="BA74" s="77"/>
    </row>
    <row r="75" spans="2:53" x14ac:dyDescent="0.25">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c r="BA75" s="77"/>
    </row>
    <row r="76" spans="2:53" x14ac:dyDescent="0.25">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row>
    <row r="77" spans="2:53" x14ac:dyDescent="0.25">
      <c r="B77" s="10"/>
      <c r="C77" s="10"/>
      <c r="D77" s="10"/>
      <c r="E77" s="10"/>
      <c r="F77" s="10"/>
      <c r="G77" s="10"/>
      <c r="H77" s="10"/>
      <c r="I77" s="10"/>
      <c r="J77" s="10"/>
      <c r="K77" s="10"/>
      <c r="L77" s="142"/>
    </row>
    <row r="78" spans="2:53" x14ac:dyDescent="0.25">
      <c r="B78" s="10" t="s">
        <v>254</v>
      </c>
      <c r="C78" s="10"/>
      <c r="D78" s="10"/>
      <c r="E78" s="10"/>
      <c r="F78" s="10"/>
      <c r="G78" s="10"/>
      <c r="H78" s="10"/>
      <c r="I78" s="10"/>
      <c r="J78" s="10"/>
      <c r="K78" s="10"/>
      <c r="L78" s="142"/>
    </row>
    <row r="79" spans="2:53" x14ac:dyDescent="0.25">
      <c r="B79" s="1" t="s">
        <v>99</v>
      </c>
      <c r="C79" s="467">
        <f>(1+'Green+Social Interface'!$I$34)*(1+'Green+Social Interface'!$I$35)-1</f>
        <v>7.0000000000000062E-2</v>
      </c>
      <c r="D79" s="10"/>
      <c r="E79" s="466"/>
      <c r="F79" s="10"/>
      <c r="G79" s="10"/>
      <c r="H79" s="10"/>
      <c r="I79" s="10"/>
      <c r="J79" s="10"/>
      <c r="K79" s="10"/>
      <c r="L79" s="142"/>
    </row>
    <row r="80" spans="2:53" x14ac:dyDescent="0.25">
      <c r="B80" s="1"/>
      <c r="C80" s="149"/>
      <c r="D80" s="10"/>
      <c r="E80" s="10"/>
      <c r="F80" s="10"/>
      <c r="G80" s="10"/>
      <c r="H80" s="10"/>
      <c r="I80" s="10"/>
      <c r="J80" s="10"/>
      <c r="K80" s="10"/>
      <c r="L80" s="142"/>
    </row>
    <row r="81" spans="2:24" x14ac:dyDescent="0.25">
      <c r="B81" s="10"/>
      <c r="C81" s="10"/>
      <c r="D81" s="10"/>
      <c r="E81" s="10"/>
      <c r="F81" s="10"/>
      <c r="G81" s="10"/>
      <c r="H81" s="10"/>
      <c r="I81" s="10"/>
      <c r="J81" s="10"/>
      <c r="K81" s="10"/>
      <c r="L81" s="142"/>
    </row>
    <row r="82" spans="2:24" x14ac:dyDescent="0.25">
      <c r="B82" s="10"/>
      <c r="C82" s="10"/>
      <c r="D82" s="10"/>
      <c r="E82" s="10"/>
      <c r="F82" s="10"/>
      <c r="G82" s="10"/>
      <c r="H82" s="10"/>
      <c r="I82" s="10"/>
      <c r="J82" s="10"/>
      <c r="K82" s="10"/>
      <c r="L82" s="142"/>
    </row>
    <row r="83" spans="2:24" x14ac:dyDescent="0.25">
      <c r="B83" s="10"/>
      <c r="C83" s="10"/>
      <c r="D83" s="10"/>
      <c r="E83" s="10"/>
      <c r="F83" s="10"/>
      <c r="G83" s="10"/>
      <c r="H83" s="10"/>
      <c r="I83" s="10"/>
      <c r="J83" s="10"/>
      <c r="K83" s="10"/>
      <c r="L83" s="142"/>
    </row>
    <row r="84" spans="2:24" ht="15.75" thickBot="1" x14ac:dyDescent="0.3">
      <c r="C84" t="s">
        <v>1096</v>
      </c>
    </row>
    <row r="85" spans="2:24" ht="27" thickBot="1" x14ac:dyDescent="0.3">
      <c r="B85" s="81">
        <f>SUM(E87,D88:E88,D90:E90,D92:E92,D94:E94,D96,E98,D103:E103,D112:E112,D117:E117,D122:E122,D127)</f>
        <v>0</v>
      </c>
      <c r="C85" s="436" t="b">
        <f>B85=SUM('Green+Social Interface'!D18:D22,'Green+Social Interface'!I18:I22,'Green+Social Interface'!O18:O22,'Green+Social Interface'!T18:T22)</f>
        <v>1</v>
      </c>
      <c r="G85" s="117"/>
      <c r="O85" s="127" t="s">
        <v>136</v>
      </c>
      <c r="P85" s="83"/>
      <c r="Q85" s="84" t="s">
        <v>88</v>
      </c>
      <c r="S85" s="131"/>
      <c r="T85" s="132"/>
      <c r="U85" s="132"/>
      <c r="V85" s="132"/>
      <c r="W85" s="132"/>
      <c r="X85" s="132"/>
    </row>
    <row r="86" spans="2:24" ht="52.5" thickBot="1" x14ac:dyDescent="0.3">
      <c r="B86" s="82"/>
      <c r="C86" s="82" t="s">
        <v>89</v>
      </c>
      <c r="D86" s="124" t="s">
        <v>107</v>
      </c>
      <c r="E86" s="124" t="s">
        <v>108</v>
      </c>
      <c r="F86" s="124" t="s">
        <v>107</v>
      </c>
      <c r="G86" s="124" t="s">
        <v>108</v>
      </c>
      <c r="H86" s="124" t="s">
        <v>131</v>
      </c>
      <c r="I86" s="146"/>
      <c r="J86" s="146"/>
      <c r="M86" s="85"/>
      <c r="O86" s="86" t="s">
        <v>90</v>
      </c>
      <c r="P86" s="87"/>
      <c r="Q86" s="135" t="s">
        <v>91</v>
      </c>
      <c r="R86" s="146" t="s">
        <v>951</v>
      </c>
      <c r="S86" s="338" t="s">
        <v>228</v>
      </c>
      <c r="T86" s="182" t="s">
        <v>229</v>
      </c>
      <c r="U86" s="182" t="s">
        <v>232</v>
      </c>
      <c r="V86" s="128" t="s">
        <v>952</v>
      </c>
      <c r="W86" s="301" t="s">
        <v>949</v>
      </c>
      <c r="X86" s="301" t="s">
        <v>950</v>
      </c>
    </row>
    <row r="87" spans="2:24" x14ac:dyDescent="0.25">
      <c r="B87" s="82" t="s">
        <v>110</v>
      </c>
      <c r="C87" s="82" t="s">
        <v>111</v>
      </c>
      <c r="D87" s="109"/>
      <c r="E87" s="111">
        <f>'Green+Social Interface'!$I$18</f>
        <v>0</v>
      </c>
      <c r="F87" s="110">
        <f>$D$87</f>
        <v>0</v>
      </c>
      <c r="G87" s="110">
        <f>$E$87</f>
        <v>0</v>
      </c>
      <c r="H87" s="119">
        <f>F87+G87</f>
        <v>0</v>
      </c>
      <c r="I87" s="1"/>
      <c r="J87" s="1"/>
      <c r="N87" t="s">
        <v>225</v>
      </c>
      <c r="O87" s="88" t="s">
        <v>10</v>
      </c>
      <c r="P87" s="134"/>
      <c r="Q87" s="136">
        <f>'Green+Social Interface'!J46</f>
        <v>280</v>
      </c>
      <c r="R87" s="118">
        <f>'Green+Social Interface'!$I$18</f>
        <v>0</v>
      </c>
      <c r="S87" s="339">
        <f>(VLOOKUP('Green+Social Interface'!$D$39,'Look-ups_2'!$B$4:$AB$113,18,FALSE)*'Look-ups_2'!$S$115)+(VLOOKUP('Green+Social Interface'!$D$39,'Look-ups_2'!$B$4:$AB$113,23,FALSE)*'Look-ups_2'!$X$115)</f>
        <v>154.08000000000001</v>
      </c>
      <c r="T87" s="337">
        <f>Q87-S87</f>
        <v>125.91999999999999</v>
      </c>
      <c r="U87" s="184">
        <f>T87/Q87</f>
        <v>0.44971428571428568</v>
      </c>
      <c r="V87" s="183">
        <f>'Green+Social Interface'!$T$18</f>
        <v>0</v>
      </c>
      <c r="W87" s="130">
        <f>((100%-$Q$103)*(Q87*R87))*52.1429</f>
        <v>0</v>
      </c>
      <c r="X87" s="130">
        <f>(T87*V87)*52.1429</f>
        <v>0</v>
      </c>
    </row>
    <row r="88" spans="2:24" x14ac:dyDescent="0.25">
      <c r="B88" s="82" t="s">
        <v>110</v>
      </c>
      <c r="C88" s="82" t="s">
        <v>112</v>
      </c>
      <c r="D88" s="111">
        <f>'Green+Social Interface'!$D$18</f>
        <v>0</v>
      </c>
      <c r="E88" s="111">
        <f>'Green+Social Interface'!$I$19</f>
        <v>0</v>
      </c>
      <c r="F88" s="110">
        <f>$D$88</f>
        <v>0</v>
      </c>
      <c r="G88" s="110">
        <f>$E$88</f>
        <v>0</v>
      </c>
      <c r="H88" s="119">
        <f t="shared" ref="H88:H131" si="30">F88+G88</f>
        <v>0</v>
      </c>
      <c r="I88" s="1"/>
      <c r="J88" s="1"/>
      <c r="N88" t="s">
        <v>225</v>
      </c>
      <c r="O88" s="88" t="s">
        <v>6</v>
      </c>
      <c r="P88" s="134"/>
      <c r="Q88" s="136">
        <f>'Green+Social Interface'!J47</f>
        <v>377</v>
      </c>
      <c r="R88" s="118">
        <f>'Green+Social Interface'!$I$19</f>
        <v>0</v>
      </c>
      <c r="S88" s="179">
        <f>(VLOOKUP('Green+Social Interface'!$D$39,'Look-ups_2'!$B$4:$AB$113,18,FALSE)*'Look-ups_2'!$S$114)+(VLOOKUP('Green+Social Interface'!$D$39,'Look-ups_2'!$B$4:$AB$113,23,FALSE)*'Look-ups_2'!$X$114)</f>
        <v>154.08000000000001</v>
      </c>
      <c r="T88" s="180">
        <f t="shared" ref="T88:T91" si="31">Q88-S88</f>
        <v>222.92</v>
      </c>
      <c r="U88" s="184">
        <f t="shared" ref="U88:U97" si="32">T88/Q88</f>
        <v>0.59129973474801056</v>
      </c>
      <c r="V88" s="183">
        <f>'Green+Social Interface'!$T$19</f>
        <v>0</v>
      </c>
      <c r="W88" s="130">
        <f>((100%-$Q$103)*(Q88*R88))*52.1429</f>
        <v>0</v>
      </c>
      <c r="X88" s="130">
        <f>(T88*V88)*52.1429</f>
        <v>0</v>
      </c>
    </row>
    <row r="89" spans="2:24" x14ac:dyDescent="0.25">
      <c r="B89" s="82"/>
      <c r="C89" s="82" t="s">
        <v>117</v>
      </c>
      <c r="D89" s="169">
        <f>IF('Green+Social Interface'!$D$18&gt;0,'Green+Social Interface'!F18/'Green+Social Interface'!$D$18,0)</f>
        <v>0</v>
      </c>
      <c r="E89" s="169">
        <f>IF('Green+Social Interface'!I19&gt;0,'Green+Social Interface'!L19/'Green+Social Interface'!$I$19,0)</f>
        <v>0</v>
      </c>
      <c r="F89" s="110">
        <f>D89*F88</f>
        <v>0</v>
      </c>
      <c r="G89" s="110">
        <f>E89*G88</f>
        <v>0</v>
      </c>
      <c r="H89" s="119">
        <f>F89+G89</f>
        <v>0</v>
      </c>
      <c r="I89" s="1"/>
      <c r="J89" s="1"/>
      <c r="N89" t="s">
        <v>225</v>
      </c>
      <c r="O89" s="88" t="s">
        <v>7</v>
      </c>
      <c r="P89" s="134"/>
      <c r="Q89" s="136">
        <f>'Green+Social Interface'!J48</f>
        <v>404</v>
      </c>
      <c r="R89" s="118">
        <f>'Green+Social Interface'!$I$20</f>
        <v>0</v>
      </c>
      <c r="S89" s="179">
        <f>(VLOOKUP('Green+Social Interface'!$D$39,'Look-ups_2'!$B$4:$AB$113,19,FALSE)*'Look-ups_2'!$S$114)+(VLOOKUP('Green+Social Interface'!$D$39,'Look-ups_2'!$B$4:$AB$113,24,FALSE)*'Look-ups_2'!$X$114)</f>
        <v>145.52000000000001</v>
      </c>
      <c r="T89" s="180">
        <f t="shared" si="31"/>
        <v>258.48</v>
      </c>
      <c r="U89" s="184">
        <f t="shared" si="32"/>
        <v>0.63980198019801982</v>
      </c>
      <c r="V89" s="183">
        <f>'Green+Social Interface'!$T$20</f>
        <v>0</v>
      </c>
      <c r="W89" s="130">
        <f>((100%-$Q$103)*(Q89*R89))*52.1429</f>
        <v>0</v>
      </c>
      <c r="X89" s="130">
        <f>(T89*V89)*52.1429</f>
        <v>0</v>
      </c>
    </row>
    <row r="90" spans="2:24" x14ac:dyDescent="0.25">
      <c r="B90" s="82" t="s">
        <v>110</v>
      </c>
      <c r="C90" s="82" t="s">
        <v>113</v>
      </c>
      <c r="D90" s="111">
        <f>'Green+Social Interface'!$D$19</f>
        <v>0</v>
      </c>
      <c r="E90" s="111">
        <f>'Green+Social Interface'!$I$20</f>
        <v>0</v>
      </c>
      <c r="F90" s="110">
        <f>$D$90</f>
        <v>0</v>
      </c>
      <c r="G90" s="110">
        <f>$E$90</f>
        <v>0</v>
      </c>
      <c r="H90" s="119">
        <f t="shared" si="30"/>
        <v>0</v>
      </c>
      <c r="I90" s="1"/>
      <c r="J90" s="1"/>
      <c r="N90" t="s">
        <v>225</v>
      </c>
      <c r="O90" s="88" t="s">
        <v>8</v>
      </c>
      <c r="P90" s="134"/>
      <c r="Q90" s="136">
        <f>'Green+Social Interface'!J49</f>
        <v>528</v>
      </c>
      <c r="R90" s="118">
        <f>'Green+Social Interface'!$I$21</f>
        <v>0</v>
      </c>
      <c r="S90" s="179">
        <f>(VLOOKUP('Green+Social Interface'!$D$39,'Look-ups_2'!$B$4:$AB$113,20,FALSE)*'Look-ups_2'!$S$114)+(VLOOKUP('Green+Social Interface'!$D$39,'Look-ups_2'!$B$4:$AB$113,25,FALSE)*'Look-ups_2'!$X$114)</f>
        <v>164.78</v>
      </c>
      <c r="T90" s="180">
        <f t="shared" si="31"/>
        <v>363.22</v>
      </c>
      <c r="U90" s="184">
        <f t="shared" si="32"/>
        <v>0.68791666666666673</v>
      </c>
      <c r="V90" s="183">
        <f>'Green+Social Interface'!$T$21</f>
        <v>0</v>
      </c>
      <c r="W90" s="130">
        <f>((100%-$Q$103)*(Q90*R90))*52.1429</f>
        <v>0</v>
      </c>
      <c r="X90" s="130">
        <f>(T90*V90)*52.1429</f>
        <v>0</v>
      </c>
    </row>
    <row r="91" spans="2:24" x14ac:dyDescent="0.25">
      <c r="B91" s="82"/>
      <c r="C91" s="82" t="s">
        <v>117</v>
      </c>
      <c r="D91" s="169">
        <f>IF('Green+Social Interface'!$D$19&gt;0,'Green+Social Interface'!F19/'Green+Social Interface'!$D$19,0)</f>
        <v>0</v>
      </c>
      <c r="E91" s="169">
        <f>IF('Green+Social Interface'!I20&gt;0,'Green+Social Interface'!L20/'Green+Social Interface'!$I$20,0)</f>
        <v>0</v>
      </c>
      <c r="F91" s="110">
        <f>D91*F90</f>
        <v>0</v>
      </c>
      <c r="G91" s="110">
        <f>E91*G90</f>
        <v>0</v>
      </c>
      <c r="H91" s="119">
        <f>F91+G91</f>
        <v>0</v>
      </c>
      <c r="I91" s="1"/>
      <c r="J91" s="1"/>
      <c r="N91" t="s">
        <v>225</v>
      </c>
      <c r="O91" s="88" t="s">
        <v>9</v>
      </c>
      <c r="P91" s="134"/>
      <c r="Q91" s="136">
        <f>'Green+Social Interface'!J50</f>
        <v>593</v>
      </c>
      <c r="R91" s="118">
        <f>'Green+Social Interface'!$I$22</f>
        <v>0</v>
      </c>
      <c r="S91" s="179">
        <f>(VLOOKUP('Green+Social Interface'!$D$39,'Look-ups_2'!$B$4:$AB$113,21,FALSE)*'Look-ups_2'!$S$114)+(VLOOKUP('Green+Social Interface'!$D$39,'Look-ups_2'!$B$4:$AB$113,26,FALSE)*'Look-ups_2'!$X$114)</f>
        <v>181.9</v>
      </c>
      <c r="T91" s="180">
        <f t="shared" si="31"/>
        <v>411.1</v>
      </c>
      <c r="U91" s="184">
        <f t="shared" si="32"/>
        <v>0.6932546374367623</v>
      </c>
      <c r="V91" s="183">
        <f>'Green+Social Interface'!$T$22</f>
        <v>0</v>
      </c>
      <c r="W91" s="130">
        <f>((100%-$Q$103)*(Q91*R91))*52.1429</f>
        <v>0</v>
      </c>
      <c r="X91" s="130">
        <f>(T91*V91)*52.1429</f>
        <v>0</v>
      </c>
    </row>
    <row r="92" spans="2:24" x14ac:dyDescent="0.25">
      <c r="B92" s="82" t="s">
        <v>110</v>
      </c>
      <c r="C92" s="82" t="s">
        <v>114</v>
      </c>
      <c r="D92" s="111">
        <f>'Green+Social Interface'!$D$20</f>
        <v>0</v>
      </c>
      <c r="E92" s="111">
        <f>'Green+Social Interface'!$I$21</f>
        <v>0</v>
      </c>
      <c r="F92" s="110">
        <f>$D$92</f>
        <v>0</v>
      </c>
      <c r="G92" s="110">
        <f>$E$92</f>
        <v>0</v>
      </c>
      <c r="H92" s="119">
        <f t="shared" si="30"/>
        <v>0</v>
      </c>
      <c r="I92" s="1"/>
      <c r="J92" s="1"/>
      <c r="O92" s="88"/>
      <c r="P92" s="134"/>
      <c r="Q92" s="136"/>
      <c r="R92" s="333"/>
      <c r="S92" s="179"/>
      <c r="T92" s="180"/>
      <c r="U92" s="184"/>
      <c r="V92" s="129"/>
      <c r="W92" s="130"/>
      <c r="X92" s="130"/>
    </row>
    <row r="93" spans="2:24" x14ac:dyDescent="0.25">
      <c r="B93" s="82"/>
      <c r="C93" s="82" t="s">
        <v>117</v>
      </c>
      <c r="D93" s="169">
        <f>IF('Green+Social Interface'!$D$20&gt;0,'Green+Social Interface'!F20/'Green+Social Interface'!$D$20,0)</f>
        <v>0</v>
      </c>
      <c r="E93" s="169">
        <f>IF('Green+Social Interface'!I21&gt;0,'Green+Social Interface'!L21/'Green+Social Interface'!$I$21,0)</f>
        <v>0</v>
      </c>
      <c r="F93" s="110">
        <f>D93*F92</f>
        <v>0</v>
      </c>
      <c r="G93" s="110">
        <f>E93*G92</f>
        <v>0</v>
      </c>
      <c r="H93" s="119">
        <f>F93+G93</f>
        <v>0</v>
      </c>
      <c r="I93" s="1"/>
      <c r="J93" s="1"/>
      <c r="N93" t="s">
        <v>226</v>
      </c>
      <c r="O93" s="88" t="s">
        <v>6</v>
      </c>
      <c r="P93" s="134"/>
      <c r="Q93" s="136">
        <f>'Green+Social Interface'!E46</f>
        <v>276</v>
      </c>
      <c r="R93" s="334">
        <f>'Green+Social Interface'!$D$18</f>
        <v>0</v>
      </c>
      <c r="S93" s="335">
        <f>(VLOOKUP('Green+Social Interface'!$D$39,'Look-ups_2'!$B$4:$AB$113,18,FALSE)*'Look-ups_2'!$S$114)+(VLOOKUP('Green+Social Interface'!$D$39,'Look-ups_2'!$B$4:$AB$113,23,FALSE)*'Look-ups_2'!$X$114)</f>
        <v>154.08000000000001</v>
      </c>
      <c r="T93" s="180">
        <f>Q93-S93</f>
        <v>121.91999999999999</v>
      </c>
      <c r="U93" s="184">
        <f t="shared" si="32"/>
        <v>0.44173913043478258</v>
      </c>
      <c r="V93" s="183">
        <f>'Green+Social Interface'!$O$18</f>
        <v>0</v>
      </c>
      <c r="W93" s="130">
        <f>((100%-$Q$103)*(Q93*R93))*52.1429</f>
        <v>0</v>
      </c>
      <c r="X93" s="130">
        <f>(T93*V93)*52.1429</f>
        <v>0</v>
      </c>
    </row>
    <row r="94" spans="2:24" x14ac:dyDescent="0.25">
      <c r="B94" s="82" t="s">
        <v>110</v>
      </c>
      <c r="C94" s="82" t="s">
        <v>115</v>
      </c>
      <c r="D94" s="111">
        <f>'Green+Social Interface'!$D$21</f>
        <v>0</v>
      </c>
      <c r="E94" s="111">
        <f>'Green+Social Interface'!$I$22</f>
        <v>0</v>
      </c>
      <c r="F94" s="110">
        <f>$D$94</f>
        <v>0</v>
      </c>
      <c r="G94" s="110">
        <f>$E$94</f>
        <v>0</v>
      </c>
      <c r="H94" s="119">
        <f t="shared" si="30"/>
        <v>0</v>
      </c>
      <c r="I94" s="1"/>
      <c r="J94" s="1"/>
      <c r="K94" s="10"/>
      <c r="M94" s="10"/>
      <c r="N94" t="s">
        <v>226</v>
      </c>
      <c r="O94" s="88" t="s">
        <v>7</v>
      </c>
      <c r="P94" s="134"/>
      <c r="Q94" s="136">
        <f>'Green+Social Interface'!E47</f>
        <v>398</v>
      </c>
      <c r="R94" s="334">
        <f>'Green+Social Interface'!$D$19</f>
        <v>0</v>
      </c>
      <c r="S94" s="335">
        <f>(VLOOKUP('Green+Social Interface'!$D$39,'Look-ups_2'!$B$4:$AB$113,19,FALSE)*'Look-ups_2'!$S$114)+(VLOOKUP('Green+Social Interface'!$D$39,'Look-ups_2'!$B$4:$AB$113,24,FALSE)*'Look-ups_2'!$X$114)</f>
        <v>145.52000000000001</v>
      </c>
      <c r="T94" s="180">
        <f t="shared" ref="T94:T97" si="33">Q94-S94</f>
        <v>252.48</v>
      </c>
      <c r="U94" s="184">
        <f t="shared" si="32"/>
        <v>0.63437185929648243</v>
      </c>
      <c r="V94" s="183">
        <f>'Green+Social Interface'!$O$19</f>
        <v>0</v>
      </c>
      <c r="W94" s="130">
        <f>((100%-$Q$103)*(Q94*R94))*52.1429</f>
        <v>0</v>
      </c>
      <c r="X94" s="130">
        <f>(T94*V94)*52.1429</f>
        <v>0</v>
      </c>
    </row>
    <row r="95" spans="2:24" x14ac:dyDescent="0.25">
      <c r="B95" s="82"/>
      <c r="C95" s="82" t="s">
        <v>117</v>
      </c>
      <c r="D95" s="169">
        <f>IF('Green+Social Interface'!$D$21&gt;0,'Green+Social Interface'!F21/'Green+Social Interface'!$D$21,0)</f>
        <v>0</v>
      </c>
      <c r="E95" s="169">
        <f>IF('Green+Social Interface'!I22&gt;0,'Green+Social Interface'!L22/'Green+Social Interface'!$I$22,0)</f>
        <v>0</v>
      </c>
      <c r="F95" s="110">
        <f>D95*F94</f>
        <v>0</v>
      </c>
      <c r="G95" s="110">
        <f>E95*G94</f>
        <v>0</v>
      </c>
      <c r="H95" s="119">
        <f>F95+G95</f>
        <v>0</v>
      </c>
      <c r="I95" s="1"/>
      <c r="J95" s="1"/>
      <c r="K95" s="10"/>
      <c r="M95" s="10"/>
      <c r="N95" t="s">
        <v>226</v>
      </c>
      <c r="O95" s="88" t="s">
        <v>8</v>
      </c>
      <c r="P95" s="134"/>
      <c r="Q95" s="136">
        <f>'Green+Social Interface'!E48</f>
        <v>486</v>
      </c>
      <c r="R95" s="334">
        <f>'Green+Social Interface'!$D$20</f>
        <v>0</v>
      </c>
      <c r="S95" s="335">
        <f>(VLOOKUP('Green+Social Interface'!$D$39,'Look-ups_2'!$B$4:$AB$113,20,FALSE)*'Look-ups_2'!$S$114)+(VLOOKUP('Green+Social Interface'!$D$39,'Look-ups_2'!$B$4:$AB$113,25,FALSE)*'Look-ups_2'!$X$114)</f>
        <v>164.78</v>
      </c>
      <c r="T95" s="180">
        <f t="shared" si="33"/>
        <v>321.22000000000003</v>
      </c>
      <c r="U95" s="184">
        <f t="shared" si="32"/>
        <v>0.66094650205761318</v>
      </c>
      <c r="V95" s="183">
        <f>'Green+Social Interface'!$O$20</f>
        <v>0</v>
      </c>
      <c r="W95" s="130">
        <f>((100%-$Q$103)*(Q95*R95))*52.1429</f>
        <v>0</v>
      </c>
      <c r="X95" s="130">
        <f>(T95*V95)*52.1429</f>
        <v>0</v>
      </c>
    </row>
    <row r="96" spans="2:24" x14ac:dyDescent="0.25">
      <c r="B96" s="82" t="s">
        <v>110</v>
      </c>
      <c r="C96" s="82" t="s">
        <v>116</v>
      </c>
      <c r="D96" s="111">
        <f>'Green+Social Interface'!$D$22</f>
        <v>0</v>
      </c>
      <c r="E96" s="109"/>
      <c r="F96" s="110">
        <f>$D$96</f>
        <v>0</v>
      </c>
      <c r="G96" s="108"/>
      <c r="H96" s="119">
        <f t="shared" si="30"/>
        <v>0</v>
      </c>
      <c r="I96" s="1"/>
      <c r="J96" s="1"/>
      <c r="K96" s="89"/>
      <c r="N96" t="s">
        <v>226</v>
      </c>
      <c r="O96" s="88" t="s">
        <v>9</v>
      </c>
      <c r="P96" s="134"/>
      <c r="Q96" s="136">
        <f>'Green+Social Interface'!E49</f>
        <v>619</v>
      </c>
      <c r="R96" s="334">
        <f>'Green+Social Interface'!$D$21</f>
        <v>0</v>
      </c>
      <c r="S96" s="335">
        <f>(VLOOKUP('Green+Social Interface'!$D$39,'Look-ups_2'!$B$4:$AB$113,21,FALSE)*'Look-ups_2'!$S$114)+(VLOOKUP('Green+Social Interface'!$D$39,'Look-ups_2'!$B$4:$AB$113,25,FALSE)*'Look-ups_2'!$X$114)</f>
        <v>164.78</v>
      </c>
      <c r="T96" s="180">
        <f t="shared" si="33"/>
        <v>454.22</v>
      </c>
      <c r="U96" s="184">
        <f t="shared" si="32"/>
        <v>0.73379644588045234</v>
      </c>
      <c r="V96" s="183">
        <f>'Green+Social Interface'!$O$21</f>
        <v>0</v>
      </c>
      <c r="W96" s="130">
        <f>((100%-$Q$103)*(Q96*R96))*52.1429</f>
        <v>0</v>
      </c>
      <c r="X96" s="130">
        <f>(T96*V96)*52.1429</f>
        <v>0</v>
      </c>
    </row>
    <row r="97" spans="2:25" ht="15.75" thickBot="1" x14ac:dyDescent="0.3">
      <c r="B97" s="82"/>
      <c r="C97" s="82" t="s">
        <v>117</v>
      </c>
      <c r="D97" s="111">
        <f>IF('Green+Social Interface'!D22&gt;0,'Green+Social Interface'!F22/'Green+Social Interface'!$D$22,0)</f>
        <v>0</v>
      </c>
      <c r="E97" s="109"/>
      <c r="F97" s="110">
        <f>D97*F96</f>
        <v>0</v>
      </c>
      <c r="G97" s="108"/>
      <c r="H97" s="119">
        <f>F97+G97</f>
        <v>0</v>
      </c>
      <c r="I97" s="1"/>
      <c r="J97" s="1"/>
      <c r="K97" s="89"/>
      <c r="N97" t="s">
        <v>226</v>
      </c>
      <c r="O97" s="88" t="s">
        <v>11</v>
      </c>
      <c r="P97" s="134"/>
      <c r="Q97" s="136">
        <f>'Green+Social Interface'!E50</f>
        <v>746</v>
      </c>
      <c r="R97" s="334">
        <f>'Green+Social Interface'!$D$22</f>
        <v>0</v>
      </c>
      <c r="S97" s="336">
        <f>(VLOOKUP('Green+Social Interface'!$D$39,'Look-ups_2'!$B$4:$AB$113,22,FALSE)*'Look-ups_2'!$S$114)+(VLOOKUP('Green+Social Interface'!$D$39,'Look-ups_2'!$B$4:$AB$113,27,FALSE)*'Look-ups_2'!$X$114)</f>
        <v>228.98000000000002</v>
      </c>
      <c r="T97" s="181">
        <f t="shared" si="33"/>
        <v>517.02</v>
      </c>
      <c r="U97" s="185">
        <f t="shared" si="32"/>
        <v>0.6930563002680965</v>
      </c>
      <c r="V97" s="183">
        <f>'Green+Social Interface'!$O$22</f>
        <v>0</v>
      </c>
      <c r="W97" s="130">
        <f>((100%-$Q$103)*(Q97*R97))*52.1429</f>
        <v>0</v>
      </c>
      <c r="X97" s="130">
        <f>(T97*V97)*52.1429</f>
        <v>0</v>
      </c>
    </row>
    <row r="98" spans="2:25" x14ac:dyDescent="0.25">
      <c r="B98" s="82" t="s">
        <v>109</v>
      </c>
      <c r="C98" s="82" t="s">
        <v>111</v>
      </c>
      <c r="D98" s="109"/>
      <c r="E98" s="111">
        <f>'Green+Social Interface'!$T$18</f>
        <v>0</v>
      </c>
      <c r="F98" s="112"/>
      <c r="G98" s="110">
        <f>E98</f>
        <v>0</v>
      </c>
      <c r="H98" s="119">
        <f t="shared" si="30"/>
        <v>0</v>
      </c>
      <c r="I98" s="1"/>
      <c r="J98" s="1"/>
      <c r="O98" s="86" t="s">
        <v>92</v>
      </c>
      <c r="P98" s="90" t="s">
        <v>93</v>
      </c>
      <c r="Q98" s="137" t="s">
        <v>94</v>
      </c>
      <c r="S98" s="183" t="s">
        <v>230</v>
      </c>
      <c r="T98" s="128"/>
      <c r="U98" s="128"/>
      <c r="V98" s="128"/>
      <c r="W98" s="129" t="s">
        <v>953</v>
      </c>
      <c r="X98" s="130">
        <f>SUM(W87:X97)</f>
        <v>0</v>
      </c>
      <c r="Y98" s="78">
        <f>IF(X98&gt;0,X98/'Green Infrastructure'!D72,0)</f>
        <v>0</v>
      </c>
    </row>
    <row r="99" spans="2:25" ht="15.75" thickBot="1" x14ac:dyDescent="0.3">
      <c r="B99" s="82"/>
      <c r="C99" s="82" t="s">
        <v>117</v>
      </c>
      <c r="D99" s="108"/>
      <c r="E99" s="115">
        <v>1</v>
      </c>
      <c r="F99" s="112"/>
      <c r="G99" s="110">
        <f>E99*$E$98</f>
        <v>0</v>
      </c>
      <c r="H99" s="119">
        <f t="shared" si="30"/>
        <v>0</v>
      </c>
      <c r="I99" s="1"/>
      <c r="J99" s="1"/>
      <c r="O99" s="91" t="s">
        <v>95</v>
      </c>
      <c r="P99" s="92">
        <v>4000</v>
      </c>
      <c r="Q99" s="138">
        <v>20</v>
      </c>
      <c r="S99" s="183" t="s">
        <v>231</v>
      </c>
      <c r="T99" s="133"/>
      <c r="U99" s="133"/>
      <c r="V99" s="129"/>
      <c r="W99" s="129"/>
      <c r="X99" s="129"/>
    </row>
    <row r="100" spans="2:25" x14ac:dyDescent="0.25">
      <c r="B100" s="82"/>
      <c r="C100" s="82" t="s">
        <v>118</v>
      </c>
      <c r="D100" s="108"/>
      <c r="E100" s="113">
        <v>0.35</v>
      </c>
      <c r="F100" s="112"/>
      <c r="G100" s="110">
        <f t="shared" ref="G100:G102" si="34">E100*$E$98</f>
        <v>0</v>
      </c>
      <c r="H100" s="119">
        <f t="shared" si="30"/>
        <v>0</v>
      </c>
      <c r="I100" s="1"/>
      <c r="J100" s="1"/>
    </row>
    <row r="101" spans="2:25" ht="15.75" thickBot="1" x14ac:dyDescent="0.3">
      <c r="B101" s="82"/>
      <c r="C101" s="82" t="s">
        <v>119</v>
      </c>
      <c r="D101" s="108"/>
      <c r="E101" s="113">
        <v>0.4</v>
      </c>
      <c r="F101" s="112"/>
      <c r="G101" s="110">
        <f t="shared" si="34"/>
        <v>0</v>
      </c>
      <c r="H101" s="119">
        <f t="shared" si="30"/>
        <v>0</v>
      </c>
      <c r="I101" s="1"/>
      <c r="J101" s="1"/>
      <c r="K101" s="89"/>
      <c r="M101" s="10"/>
    </row>
    <row r="102" spans="2:25" x14ac:dyDescent="0.25">
      <c r="B102" s="82"/>
      <c r="C102" s="82" t="s">
        <v>120</v>
      </c>
      <c r="D102" s="108"/>
      <c r="E102" s="113">
        <v>0.25</v>
      </c>
      <c r="F102" s="112"/>
      <c r="G102" s="110">
        <f t="shared" si="34"/>
        <v>0</v>
      </c>
      <c r="H102" s="119">
        <f t="shared" si="30"/>
        <v>0</v>
      </c>
      <c r="I102" s="1"/>
      <c r="J102" s="1"/>
      <c r="O102" s="93" t="s">
        <v>96</v>
      </c>
      <c r="P102" s="94"/>
      <c r="Q102" s="95"/>
    </row>
    <row r="103" spans="2:25" x14ac:dyDescent="0.25">
      <c r="B103" s="82" t="s">
        <v>109</v>
      </c>
      <c r="C103" s="11" t="s">
        <v>112</v>
      </c>
      <c r="D103" s="111">
        <f>'Green+Social Interface'!$O$18</f>
        <v>0</v>
      </c>
      <c r="E103" s="111">
        <f>'Green+Social Interface'!$T$19</f>
        <v>0</v>
      </c>
      <c r="F103" s="111">
        <f>D103</f>
        <v>0</v>
      </c>
      <c r="G103" s="111">
        <f>E103</f>
        <v>0</v>
      </c>
      <c r="H103" s="119">
        <f t="shared" si="30"/>
        <v>0</v>
      </c>
      <c r="I103" s="1"/>
      <c r="J103" s="1"/>
      <c r="O103" s="96" t="s">
        <v>97</v>
      </c>
      <c r="P103" s="97"/>
      <c r="Q103" s="98">
        <f>'Green+Social Interface'!$I$41</f>
        <v>0.74990000000000001</v>
      </c>
    </row>
    <row r="104" spans="2:25" ht="15.75" thickBot="1" x14ac:dyDescent="0.3">
      <c r="B104" s="82"/>
      <c r="C104" s="82" t="s">
        <v>117</v>
      </c>
      <c r="D104" s="169">
        <f>IF('Green+Social Interface'!O18&gt;0,'Green+Social Interface'!Q18/'Green+Social Interface'!O18,0)</f>
        <v>0</v>
      </c>
      <c r="E104" s="169">
        <f>IF('Green+Social Interface'!T19&gt;0,'Green+Social Interface'!W19/'Green+Social Interface'!T19,0)</f>
        <v>0</v>
      </c>
      <c r="F104" s="111">
        <f>D104*$D$103</f>
        <v>0</v>
      </c>
      <c r="G104" s="111">
        <f>E104*$E$103</f>
        <v>0</v>
      </c>
      <c r="H104" s="141">
        <f t="shared" si="30"/>
        <v>0</v>
      </c>
      <c r="I104" s="1"/>
      <c r="J104" s="1"/>
      <c r="O104" s="99" t="s">
        <v>98</v>
      </c>
      <c r="P104" s="100"/>
      <c r="Q104" s="98"/>
    </row>
    <row r="105" spans="2:25" x14ac:dyDescent="0.25">
      <c r="B105" s="82"/>
      <c r="C105" s="82" t="s">
        <v>118</v>
      </c>
      <c r="D105" s="113">
        <v>0.35</v>
      </c>
      <c r="E105" s="113">
        <v>0.35</v>
      </c>
      <c r="F105" s="113">
        <f>D105*$F$104</f>
        <v>0</v>
      </c>
      <c r="G105" s="113">
        <f>E105*$G$104</f>
        <v>0</v>
      </c>
      <c r="H105" s="119">
        <f t="shared" si="30"/>
        <v>0</v>
      </c>
      <c r="I105" s="1"/>
      <c r="J105" s="1"/>
      <c r="K105" s="10"/>
      <c r="M105" s="10"/>
    </row>
    <row r="106" spans="2:25" x14ac:dyDescent="0.25">
      <c r="B106" s="82"/>
      <c r="C106" s="82" t="s">
        <v>119</v>
      </c>
      <c r="D106" s="113">
        <v>0.4</v>
      </c>
      <c r="E106" s="113">
        <v>0.4</v>
      </c>
      <c r="F106" s="113">
        <f t="shared" ref="F106:F107" si="35">D106*$F$104</f>
        <v>0</v>
      </c>
      <c r="G106" s="113">
        <f t="shared" ref="G106:G107" si="36">E106*$G$104</f>
        <v>0</v>
      </c>
      <c r="H106" s="119">
        <f t="shared" si="30"/>
        <v>0</v>
      </c>
      <c r="I106" s="1"/>
      <c r="J106" s="1"/>
      <c r="O106" s="101"/>
      <c r="P106" s="102"/>
      <c r="Q106" s="103"/>
    </row>
    <row r="107" spans="2:25" x14ac:dyDescent="0.25">
      <c r="B107" s="82"/>
      <c r="C107" s="82" t="s">
        <v>120</v>
      </c>
      <c r="D107" s="113">
        <v>0.25</v>
      </c>
      <c r="E107" s="113">
        <v>0.25</v>
      </c>
      <c r="F107" s="113">
        <f t="shared" si="35"/>
        <v>0</v>
      </c>
      <c r="G107" s="113">
        <f t="shared" si="36"/>
        <v>0</v>
      </c>
      <c r="H107" s="119">
        <f t="shared" si="30"/>
        <v>0</v>
      </c>
      <c r="I107" s="1"/>
      <c r="J107" s="1"/>
      <c r="O107" s="96"/>
      <c r="Q107" s="104"/>
    </row>
    <row r="108" spans="2:25" x14ac:dyDescent="0.25">
      <c r="B108" s="82"/>
      <c r="C108" s="11" t="s">
        <v>130</v>
      </c>
      <c r="D108" s="169">
        <f>1-D104</f>
        <v>1</v>
      </c>
      <c r="E108" s="169">
        <f>1-E104</f>
        <v>1</v>
      </c>
      <c r="F108" s="111">
        <f>D108*D103</f>
        <v>0</v>
      </c>
      <c r="G108" s="111">
        <f>E108*E103</f>
        <v>0</v>
      </c>
      <c r="H108" s="141">
        <f t="shared" si="30"/>
        <v>0</v>
      </c>
      <c r="I108" s="1"/>
      <c r="J108" s="1"/>
    </row>
    <row r="109" spans="2:25" x14ac:dyDescent="0.25">
      <c r="B109" s="82"/>
      <c r="C109" s="82" t="s">
        <v>118</v>
      </c>
      <c r="D109" s="113">
        <v>0.35</v>
      </c>
      <c r="E109" s="113">
        <v>0.35</v>
      </c>
      <c r="F109" s="113">
        <f>D109*$F$108</f>
        <v>0</v>
      </c>
      <c r="G109" s="113">
        <f>E109*$G$108</f>
        <v>0</v>
      </c>
      <c r="H109" s="119">
        <f t="shared" si="30"/>
        <v>0</v>
      </c>
      <c r="I109" s="1"/>
      <c r="J109" s="1"/>
      <c r="K109" s="10"/>
      <c r="M109" s="10"/>
    </row>
    <row r="110" spans="2:25" x14ac:dyDescent="0.25">
      <c r="B110" s="82"/>
      <c r="C110" s="82" t="s">
        <v>119</v>
      </c>
      <c r="D110" s="113">
        <v>0.4</v>
      </c>
      <c r="E110" s="113">
        <v>0.4</v>
      </c>
      <c r="F110" s="113">
        <f t="shared" ref="F110:F111" si="37">D110*$F$108</f>
        <v>0</v>
      </c>
      <c r="G110" s="113">
        <f t="shared" ref="G110:G111" si="38">E110*$G$108</f>
        <v>0</v>
      </c>
      <c r="H110" s="119">
        <f t="shared" si="30"/>
        <v>0</v>
      </c>
      <c r="I110" s="1"/>
      <c r="J110" s="1"/>
      <c r="O110" s="105" t="s">
        <v>99</v>
      </c>
      <c r="Q110" s="106">
        <f>'Green+Social Interface'!I34+Q107</f>
        <v>7.0000000000000007E-2</v>
      </c>
    </row>
    <row r="111" spans="2:25" x14ac:dyDescent="0.25">
      <c r="B111" s="82"/>
      <c r="C111" s="82" t="s">
        <v>120</v>
      </c>
      <c r="D111" s="113">
        <v>0.25</v>
      </c>
      <c r="E111" s="113">
        <v>0.25</v>
      </c>
      <c r="F111" s="113">
        <f t="shared" si="37"/>
        <v>0</v>
      </c>
      <c r="G111" s="113">
        <f t="shared" si="38"/>
        <v>0</v>
      </c>
      <c r="H111" s="119">
        <f t="shared" si="30"/>
        <v>0</v>
      </c>
      <c r="I111" s="1"/>
      <c r="J111" s="1"/>
    </row>
    <row r="112" spans="2:25" ht="15.75" thickBot="1" x14ac:dyDescent="0.3">
      <c r="B112" s="82" t="s">
        <v>109</v>
      </c>
      <c r="C112" s="11" t="s">
        <v>113</v>
      </c>
      <c r="D112" s="111">
        <f>'Green+Social Interface'!$O$19</f>
        <v>0</v>
      </c>
      <c r="E112" s="111">
        <f>'Green+Social Interface'!$T$20</f>
        <v>0</v>
      </c>
      <c r="F112" s="111">
        <f>D112</f>
        <v>0</v>
      </c>
      <c r="G112" s="111">
        <f>E112</f>
        <v>0</v>
      </c>
      <c r="H112" s="119">
        <f t="shared" si="30"/>
        <v>0</v>
      </c>
      <c r="I112" s="1"/>
      <c r="J112" s="1"/>
    </row>
    <row r="113" spans="2:17" x14ac:dyDescent="0.25">
      <c r="B113" s="82"/>
      <c r="C113" s="82" t="s">
        <v>117</v>
      </c>
      <c r="D113" s="328">
        <f>IF('Green+Social Interface'!O19&gt;0,'Green+Social Interface'!Q19/'Green+Social Interface'!O19,0)</f>
        <v>0</v>
      </c>
      <c r="E113" s="169">
        <f>IF('Green+Social Interface'!$T$20&gt;0,'Green+Social Interface'!W20/'Green+Social Interface'!$T$20,0)</f>
        <v>0</v>
      </c>
      <c r="F113" s="111">
        <f>D113*F112</f>
        <v>0</v>
      </c>
      <c r="G113" s="111">
        <f>E113*G112</f>
        <v>0</v>
      </c>
      <c r="H113" s="141">
        <f>F113+G113</f>
        <v>0</v>
      </c>
      <c r="I113" s="1"/>
      <c r="J113" s="1"/>
      <c r="N113" s="320" t="s">
        <v>985</v>
      </c>
      <c r="O113" s="321"/>
      <c r="P113" s="321"/>
      <c r="Q113" s="322"/>
    </row>
    <row r="114" spans="2:17" x14ac:dyDescent="0.25">
      <c r="B114" s="82"/>
      <c r="C114" s="82" t="s">
        <v>121</v>
      </c>
      <c r="D114" s="113">
        <v>0.4</v>
      </c>
      <c r="E114" s="113">
        <v>0.4</v>
      </c>
      <c r="F114" s="110">
        <f>D114*$F$112</f>
        <v>0</v>
      </c>
      <c r="G114" s="110">
        <f>E114*$G$112</f>
        <v>0</v>
      </c>
      <c r="H114" s="119">
        <f t="shared" si="30"/>
        <v>0</v>
      </c>
      <c r="I114" s="1"/>
      <c r="J114" s="1"/>
      <c r="K114" s="10"/>
      <c r="M114" s="10"/>
      <c r="N114" s="323" t="s">
        <v>988</v>
      </c>
      <c r="O114" t="s">
        <v>10</v>
      </c>
      <c r="P114">
        <f>'Green+Social Interface'!I18</f>
        <v>0</v>
      </c>
      <c r="Q114" s="324">
        <f>IF(P114&gt;0,P114/$P$119,0)</f>
        <v>0</v>
      </c>
    </row>
    <row r="115" spans="2:17" x14ac:dyDescent="0.25">
      <c r="B115" s="82"/>
      <c r="C115" s="82" t="s">
        <v>122</v>
      </c>
      <c r="D115" s="113">
        <v>0.4</v>
      </c>
      <c r="E115" s="113">
        <v>0.4</v>
      </c>
      <c r="F115" s="110">
        <f t="shared" ref="F115:F116" si="39">D115*$F$112</f>
        <v>0</v>
      </c>
      <c r="G115" s="110">
        <f t="shared" ref="G115" si="40">E115*$G$112</f>
        <v>0</v>
      </c>
      <c r="H115" s="119">
        <f t="shared" si="30"/>
        <v>0</v>
      </c>
      <c r="I115" s="1"/>
      <c r="J115" s="1"/>
      <c r="N115" s="323"/>
      <c r="O115" t="s">
        <v>986</v>
      </c>
      <c r="P115">
        <f>'Green+Social Interface'!I19</f>
        <v>0</v>
      </c>
      <c r="Q115" s="324">
        <f t="shared" ref="Q115:Q118" si="41">IF(P115&gt;0,P115/$P$119,0)</f>
        <v>0</v>
      </c>
    </row>
    <row r="116" spans="2:17" x14ac:dyDescent="0.25">
      <c r="B116" s="82"/>
      <c r="C116" s="82" t="s">
        <v>123</v>
      </c>
      <c r="D116" s="169">
        <f>1-D113</f>
        <v>1</v>
      </c>
      <c r="E116" s="169">
        <f>1-E113</f>
        <v>1</v>
      </c>
      <c r="F116" s="111">
        <f t="shared" si="39"/>
        <v>0</v>
      </c>
      <c r="G116" s="111">
        <f>E116*$G$112</f>
        <v>0</v>
      </c>
      <c r="H116" s="141">
        <f t="shared" si="30"/>
        <v>0</v>
      </c>
      <c r="I116" s="1"/>
      <c r="J116" s="1"/>
      <c r="N116" s="323"/>
      <c r="O116" t="s">
        <v>987</v>
      </c>
      <c r="P116">
        <f>'Green+Social Interface'!I20</f>
        <v>0</v>
      </c>
      <c r="Q116" s="324">
        <f t="shared" si="41"/>
        <v>0</v>
      </c>
    </row>
    <row r="117" spans="2:17" x14ac:dyDescent="0.25">
      <c r="B117" s="82" t="s">
        <v>109</v>
      </c>
      <c r="C117" s="11" t="s">
        <v>114</v>
      </c>
      <c r="D117" s="111">
        <f>'Green+Social Interface'!$O$20</f>
        <v>0</v>
      </c>
      <c r="E117" s="111">
        <f>'Green+Social Interface'!$T$21</f>
        <v>0</v>
      </c>
      <c r="F117" s="111">
        <f>D117</f>
        <v>0</v>
      </c>
      <c r="G117" s="111">
        <f>E117</f>
        <v>0</v>
      </c>
      <c r="H117" s="119">
        <f t="shared" si="30"/>
        <v>0</v>
      </c>
      <c r="I117" s="1"/>
      <c r="J117" s="1"/>
      <c r="N117" s="323" t="s">
        <v>989</v>
      </c>
      <c r="O117" t="s">
        <v>986</v>
      </c>
      <c r="P117">
        <f>'Green+Social Interface'!D18</f>
        <v>0</v>
      </c>
      <c r="Q117" s="324">
        <f t="shared" si="41"/>
        <v>0</v>
      </c>
    </row>
    <row r="118" spans="2:17" x14ac:dyDescent="0.25">
      <c r="B118" s="82"/>
      <c r="C118" s="82" t="s">
        <v>117</v>
      </c>
      <c r="D118" s="169">
        <f>IF('Green+Social Interface'!$O$20&gt;0,'Green+Social Interface'!Q20/'Green+Social Interface'!$O$20,0)</f>
        <v>0</v>
      </c>
      <c r="E118" s="169">
        <f>IF('Green+Social Interface'!$T$21&gt;0,'Green+Social Interface'!W21/'Green+Social Interface'!$T$21,0)</f>
        <v>0</v>
      </c>
      <c r="F118" s="111">
        <f>D118*F117</f>
        <v>0</v>
      </c>
      <c r="G118" s="111">
        <f>E118*G117</f>
        <v>0</v>
      </c>
      <c r="H118" s="141">
        <f>F118+G118</f>
        <v>0</v>
      </c>
      <c r="I118" s="1"/>
      <c r="J118" s="1"/>
      <c r="N118" s="323"/>
      <c r="O118" t="s">
        <v>987</v>
      </c>
      <c r="P118">
        <f>'Green+Social Interface'!D19</f>
        <v>0</v>
      </c>
      <c r="Q118" s="324">
        <f t="shared" si="41"/>
        <v>0</v>
      </c>
    </row>
    <row r="119" spans="2:17" x14ac:dyDescent="0.25">
      <c r="B119" s="82"/>
      <c r="C119" s="82" t="s">
        <v>124</v>
      </c>
      <c r="D119" s="113">
        <v>0.4</v>
      </c>
      <c r="E119" s="113">
        <v>0.4</v>
      </c>
      <c r="F119" s="110">
        <f>D119*$F$117</f>
        <v>0</v>
      </c>
      <c r="G119" s="110">
        <f>E119*$G$117</f>
        <v>0</v>
      </c>
      <c r="H119" s="119">
        <f t="shared" si="30"/>
        <v>0</v>
      </c>
      <c r="I119" s="1"/>
      <c r="J119" s="1"/>
      <c r="K119" s="107"/>
      <c r="N119" s="323" t="s">
        <v>990</v>
      </c>
      <c r="P119">
        <f>SUM(P114:P118)</f>
        <v>0</v>
      </c>
      <c r="Q119" s="324"/>
    </row>
    <row r="120" spans="2:17" x14ac:dyDescent="0.25">
      <c r="B120" s="82"/>
      <c r="C120" s="82" t="s">
        <v>125</v>
      </c>
      <c r="D120" s="113">
        <v>0.4</v>
      </c>
      <c r="E120" s="113">
        <v>0.4</v>
      </c>
      <c r="F120" s="110">
        <f t="shared" ref="F120:F121" si="42">D120*$F$117</f>
        <v>0</v>
      </c>
      <c r="G120" s="110">
        <f t="shared" ref="G120:G121" si="43">E120*$G$117</f>
        <v>0</v>
      </c>
      <c r="H120" s="119">
        <f t="shared" si="30"/>
        <v>0</v>
      </c>
      <c r="I120" s="1"/>
      <c r="J120" s="1"/>
      <c r="K120" s="107"/>
      <c r="N120" s="323" t="s">
        <v>109</v>
      </c>
      <c r="Q120" s="324"/>
    </row>
    <row r="121" spans="2:17" x14ac:dyDescent="0.25">
      <c r="B121" s="82"/>
      <c r="C121" s="82" t="s">
        <v>126</v>
      </c>
      <c r="D121" s="169">
        <f>1-D118</f>
        <v>1</v>
      </c>
      <c r="E121" s="169">
        <f>1-E118</f>
        <v>1</v>
      </c>
      <c r="F121" s="111">
        <f t="shared" si="42"/>
        <v>0</v>
      </c>
      <c r="G121" s="111">
        <f t="shared" si="43"/>
        <v>0</v>
      </c>
      <c r="H121" s="141">
        <f t="shared" si="30"/>
        <v>0</v>
      </c>
      <c r="I121" s="1"/>
      <c r="J121" s="1"/>
      <c r="K121" s="107"/>
      <c r="N121" s="323" t="s">
        <v>988</v>
      </c>
      <c r="O121" t="s">
        <v>10</v>
      </c>
      <c r="P121">
        <f>'Green+Social Interface'!T18</f>
        <v>0</v>
      </c>
      <c r="Q121" s="324">
        <f>IF(P121&gt;0,P121/$P$126,0)</f>
        <v>0</v>
      </c>
    </row>
    <row r="122" spans="2:17" x14ac:dyDescent="0.25">
      <c r="B122" s="82" t="s">
        <v>109</v>
      </c>
      <c r="C122" s="11" t="s">
        <v>115</v>
      </c>
      <c r="D122" s="111">
        <f>'Green+Social Interface'!$O$21</f>
        <v>0</v>
      </c>
      <c r="E122" s="111">
        <f>'Green+Social Interface'!$T$22</f>
        <v>0</v>
      </c>
      <c r="F122" s="111">
        <f>D122</f>
        <v>0</v>
      </c>
      <c r="G122" s="111">
        <f>E122</f>
        <v>0</v>
      </c>
      <c r="H122" s="119">
        <f t="shared" si="30"/>
        <v>0</v>
      </c>
      <c r="I122" s="1"/>
      <c r="J122" s="1"/>
      <c r="K122" s="107"/>
      <c r="N122" s="323"/>
      <c r="O122" t="s">
        <v>986</v>
      </c>
      <c r="P122">
        <f>'Green+Social Interface'!T19</f>
        <v>0</v>
      </c>
      <c r="Q122" s="324">
        <f t="shared" ref="Q122:Q125" si="44">IF(P122&gt;0,P122/$P$126,0)</f>
        <v>0</v>
      </c>
    </row>
    <row r="123" spans="2:17" x14ac:dyDescent="0.25">
      <c r="B123" s="82"/>
      <c r="C123" s="82" t="s">
        <v>117</v>
      </c>
      <c r="D123" s="169">
        <f>IF('Green+Social Interface'!$O$21&gt;0,'Green+Social Interface'!Q21/'Green+Social Interface'!$O$21,0)</f>
        <v>0</v>
      </c>
      <c r="E123" s="169">
        <f>IF('Green+Social Interface'!$T$22&gt;0,'Green+Social Interface'!W22/'Green+Social Interface'!$T$22,0)</f>
        <v>0</v>
      </c>
      <c r="F123" s="111">
        <f>D123*F122</f>
        <v>0</v>
      </c>
      <c r="G123" s="111">
        <f>E123*G122</f>
        <v>0</v>
      </c>
      <c r="H123" s="119">
        <f>F123+G123</f>
        <v>0</v>
      </c>
      <c r="I123" s="1"/>
      <c r="J123" s="1"/>
      <c r="K123" s="107"/>
      <c r="N123" s="323"/>
      <c r="O123" t="s">
        <v>987</v>
      </c>
      <c r="P123">
        <f>'Green+Social Interface'!T20</f>
        <v>0</v>
      </c>
      <c r="Q123" s="324">
        <f t="shared" si="44"/>
        <v>0</v>
      </c>
    </row>
    <row r="124" spans="2:17" x14ac:dyDescent="0.25">
      <c r="B124" s="82"/>
      <c r="C124" s="82" t="s">
        <v>127</v>
      </c>
      <c r="D124" s="113">
        <v>0.2</v>
      </c>
      <c r="E124" s="113">
        <v>0.2</v>
      </c>
      <c r="F124" s="110">
        <f>D124*$F$122</f>
        <v>0</v>
      </c>
      <c r="G124" s="110">
        <f>E124*$G$122</f>
        <v>0</v>
      </c>
      <c r="H124" s="119">
        <f t="shared" si="30"/>
        <v>0</v>
      </c>
      <c r="I124" s="1"/>
      <c r="J124" s="1"/>
      <c r="K124" s="107"/>
      <c r="N124" s="323" t="s">
        <v>989</v>
      </c>
      <c r="O124" t="s">
        <v>986</v>
      </c>
      <c r="P124">
        <f>'Green+Social Interface'!O18</f>
        <v>0</v>
      </c>
      <c r="Q124" s="324">
        <f t="shared" si="44"/>
        <v>0</v>
      </c>
    </row>
    <row r="125" spans="2:17" x14ac:dyDescent="0.25">
      <c r="B125" s="82"/>
      <c r="C125" s="82" t="s">
        <v>128</v>
      </c>
      <c r="D125" s="113">
        <v>0.2</v>
      </c>
      <c r="E125" s="113">
        <v>0.2</v>
      </c>
      <c r="F125" s="110">
        <f t="shared" ref="F125:F126" si="45">D125*$F$122</f>
        <v>0</v>
      </c>
      <c r="G125" s="110">
        <f>E125*$G$122</f>
        <v>0</v>
      </c>
      <c r="H125" s="119">
        <f t="shared" si="30"/>
        <v>0</v>
      </c>
      <c r="I125" s="1"/>
      <c r="J125" s="1"/>
      <c r="K125" s="107"/>
      <c r="N125" s="323"/>
      <c r="O125" t="s">
        <v>987</v>
      </c>
      <c r="P125">
        <f>'Green+Social Interface'!O19</f>
        <v>0</v>
      </c>
      <c r="Q125" s="324">
        <f t="shared" si="44"/>
        <v>0</v>
      </c>
    </row>
    <row r="126" spans="2:17" ht="15.75" thickBot="1" x14ac:dyDescent="0.3">
      <c r="B126" s="82"/>
      <c r="C126" s="82" t="s">
        <v>129</v>
      </c>
      <c r="D126" s="169">
        <f>1-D123</f>
        <v>1</v>
      </c>
      <c r="E126" s="169">
        <f>1-E123</f>
        <v>1</v>
      </c>
      <c r="F126" s="111">
        <f t="shared" si="45"/>
        <v>0</v>
      </c>
      <c r="G126" s="111">
        <f>E126*$G$122</f>
        <v>0</v>
      </c>
      <c r="H126" s="141">
        <f t="shared" si="30"/>
        <v>0</v>
      </c>
      <c r="I126" s="1"/>
      <c r="J126" s="1"/>
      <c r="N126" s="325" t="s">
        <v>991</v>
      </c>
      <c r="O126" s="326"/>
      <c r="P126" s="326">
        <f>SUM(P121:P125)</f>
        <v>0</v>
      </c>
      <c r="Q126" s="327"/>
    </row>
    <row r="127" spans="2:17" x14ac:dyDescent="0.25">
      <c r="B127" s="82" t="s">
        <v>109</v>
      </c>
      <c r="C127" s="11" t="s">
        <v>116</v>
      </c>
      <c r="D127" s="111">
        <f>'Green+Social Interface'!$O$22</f>
        <v>0</v>
      </c>
      <c r="E127" s="139"/>
      <c r="F127" s="111">
        <f>D127</f>
        <v>0</v>
      </c>
      <c r="G127" s="140"/>
      <c r="H127" s="141">
        <f t="shared" si="30"/>
        <v>0</v>
      </c>
      <c r="I127" s="149"/>
      <c r="J127" s="149"/>
    </row>
    <row r="128" spans="2:17" x14ac:dyDescent="0.25">
      <c r="B128" s="82"/>
      <c r="C128" s="82" t="s">
        <v>117</v>
      </c>
      <c r="D128" s="169">
        <f>IF('Green+Social Interface'!$O$22&gt;0,'Green+Social Interface'!Q22/'Green+Social Interface'!$O$22,0)</f>
        <v>0</v>
      </c>
      <c r="E128" s="139"/>
      <c r="F128" s="111">
        <f>D128*F127</f>
        <v>0</v>
      </c>
      <c r="G128" s="140"/>
      <c r="H128" s="141">
        <f>F128</f>
        <v>0</v>
      </c>
      <c r="I128" s="149"/>
      <c r="J128" s="149"/>
    </row>
    <row r="129" spans="2:10" x14ac:dyDescent="0.25">
      <c r="B129" s="82"/>
      <c r="C129" s="82" t="s">
        <v>127</v>
      </c>
      <c r="D129" s="113">
        <v>0.2</v>
      </c>
      <c r="E129" s="114"/>
      <c r="F129" s="110">
        <f>D129*$F$127</f>
        <v>0</v>
      </c>
      <c r="G129" s="112"/>
      <c r="H129" s="119">
        <f t="shared" si="30"/>
        <v>0</v>
      </c>
      <c r="I129" s="1"/>
      <c r="J129" s="1"/>
    </row>
    <row r="130" spans="2:10" x14ac:dyDescent="0.25">
      <c r="B130" s="82"/>
      <c r="C130" s="82" t="s">
        <v>128</v>
      </c>
      <c r="D130" s="113">
        <v>0.2</v>
      </c>
      <c r="E130" s="114"/>
      <c r="F130" s="110">
        <f t="shared" ref="F130:F131" si="46">D130*$F$127</f>
        <v>0</v>
      </c>
      <c r="G130" s="112"/>
      <c r="H130" s="119">
        <f t="shared" si="30"/>
        <v>0</v>
      </c>
      <c r="I130" s="1"/>
      <c r="J130" s="1"/>
    </row>
    <row r="131" spans="2:10" x14ac:dyDescent="0.25">
      <c r="B131" s="82"/>
      <c r="C131" s="82" t="s">
        <v>129</v>
      </c>
      <c r="D131" s="113">
        <f>1-D128</f>
        <v>1</v>
      </c>
      <c r="E131" s="114"/>
      <c r="F131" s="110">
        <f t="shared" si="46"/>
        <v>0</v>
      </c>
      <c r="G131" s="112"/>
      <c r="H131" s="119">
        <f t="shared" si="30"/>
        <v>0</v>
      </c>
      <c r="I131" s="1"/>
      <c r="J131" s="1"/>
    </row>
    <row r="132" spans="2:10" x14ac:dyDescent="0.25">
      <c r="C132" s="85"/>
      <c r="D132" s="123"/>
      <c r="E132" s="123"/>
      <c r="G132" s="118"/>
    </row>
    <row r="133" spans="2:10" x14ac:dyDescent="0.25">
      <c r="C133" s="85"/>
      <c r="D133" s="123"/>
      <c r="E133" s="123"/>
      <c r="G133" s="118"/>
    </row>
    <row r="134" spans="2:10" ht="45" x14ac:dyDescent="0.25">
      <c r="B134" s="82"/>
      <c r="C134" s="82"/>
      <c r="D134" s="11"/>
      <c r="E134" s="82"/>
      <c r="F134" s="124" t="s">
        <v>132</v>
      </c>
      <c r="G134" s="124" t="s">
        <v>133</v>
      </c>
      <c r="H134" s="124" t="s">
        <v>134</v>
      </c>
      <c r="I134" s="146"/>
      <c r="J134" s="146"/>
    </row>
    <row r="135" spans="2:10" x14ac:dyDescent="0.25">
      <c r="B135" s="82" t="s">
        <v>100</v>
      </c>
      <c r="C135" s="82" t="s">
        <v>101</v>
      </c>
      <c r="D135" s="82"/>
      <c r="E135" s="82"/>
      <c r="F135" s="347">
        <f>(F90+2*F92+3*F94+3*F96+F112+2*F117+3*F122+3*F127)*0.05</f>
        <v>0</v>
      </c>
      <c r="G135" s="347">
        <f>(G90+(2*G92)+(3*G94)+G112+(2*G117)+(3*G122))*0.05</f>
        <v>0</v>
      </c>
      <c r="H135" s="348">
        <f>(F135+G135)</f>
        <v>0</v>
      </c>
      <c r="I135" s="150"/>
      <c r="J135" s="150"/>
    </row>
    <row r="136" spans="2:10" x14ac:dyDescent="0.25">
      <c r="B136" s="82" t="s">
        <v>1046</v>
      </c>
      <c r="C136" s="82"/>
      <c r="D136" s="82"/>
      <c r="E136" s="82"/>
      <c r="F136" s="122"/>
      <c r="G136" s="122"/>
      <c r="H136" s="121">
        <f>'Green+Social Interface'!F6+'Green+Social Interface'!F7+'Green+Social Interface'!F8+'Green+Social Interface'!F9+'Green+Social Interface'!F10+'Green+Social Interface'!F11</f>
        <v>0</v>
      </c>
      <c r="I136" s="150"/>
      <c r="J136" s="150"/>
    </row>
    <row r="137" spans="2:10" x14ac:dyDescent="0.25">
      <c r="B137" s="82" t="s">
        <v>1047</v>
      </c>
      <c r="C137" s="82"/>
      <c r="D137" s="82"/>
      <c r="E137" s="82"/>
      <c r="F137" s="122"/>
      <c r="G137" s="122"/>
      <c r="H137" s="121">
        <f>'Green+Social Interface'!E6+'Green+Social Interface'!E7+'Green+Social Interface'!E8+'Green+Social Interface'!E9+'Green+Social Interface'!E10+'Green+Social Interface'!E11</f>
        <v>0</v>
      </c>
      <c r="I137" s="150"/>
      <c r="J137" s="150"/>
    </row>
    <row r="138" spans="2:10" x14ac:dyDescent="0.25">
      <c r="B138" s="82" t="s">
        <v>102</v>
      </c>
      <c r="C138" s="82" t="s">
        <v>103</v>
      </c>
      <c r="D138" s="82"/>
      <c r="E138" s="82"/>
      <c r="F138" s="120">
        <f>(F104+(F108*2))+(F113+(F116*2))+(F118+(F121*2))+(F123+(F126*2))+(F128+(F131*2))</f>
        <v>0</v>
      </c>
      <c r="G138" s="120">
        <f>(G98*2-('Green+Social Interface'!W18))+(G104+(G108*2))+(G113+(G116*2))+(G118+(G121*2))+(G123+(G126*2))</f>
        <v>0</v>
      </c>
      <c r="H138" s="121">
        <f>(F138+G138)-(H136)</f>
        <v>0</v>
      </c>
      <c r="I138" s="150"/>
      <c r="J138" s="150"/>
    </row>
    <row r="139" spans="2:10" x14ac:dyDescent="0.25">
      <c r="B139" s="82" t="s">
        <v>104</v>
      </c>
      <c r="C139" s="82"/>
      <c r="D139" s="82"/>
      <c r="E139" s="82"/>
      <c r="F139" s="170">
        <f>(F88*2-(F89))+(F90*2-(F91))+(F92*2-(F93))+(F94*2-(F95))+(F96*2-(F97))</f>
        <v>0</v>
      </c>
      <c r="G139" s="170">
        <f>(G87*2-('Green+Social Interface'!L18))+(G88*2-(G89))+(G90*2-(G91))+(G92*2-(G93))+(G94*2-(G95))</f>
        <v>0</v>
      </c>
      <c r="H139" s="121">
        <f>(F139+G139)-(H137)</f>
        <v>0</v>
      </c>
      <c r="I139" s="150"/>
      <c r="J139" s="150"/>
    </row>
    <row r="140" spans="2:10" x14ac:dyDescent="0.25">
      <c r="B140" s="349" t="s">
        <v>0</v>
      </c>
      <c r="C140" s="349" t="s">
        <v>992</v>
      </c>
      <c r="D140" s="349"/>
      <c r="E140" s="349"/>
      <c r="F140" s="350">
        <f>F104*0.17+F113*0.17</f>
        <v>0</v>
      </c>
      <c r="G140" s="350">
        <f>G98*0.17+G104*0.17+G113*0.17</f>
        <v>0</v>
      </c>
      <c r="H140" s="350">
        <f>(H99*0.17+H104*0.17+H113*0.17)</f>
        <v>0</v>
      </c>
      <c r="I140" s="150"/>
      <c r="J140" s="150"/>
    </row>
    <row r="141" spans="2:10" x14ac:dyDescent="0.25">
      <c r="B141" s="82" t="s">
        <v>105</v>
      </c>
      <c r="C141" s="82" t="s">
        <v>106</v>
      </c>
      <c r="D141" s="82"/>
      <c r="E141" s="82"/>
      <c r="F141" s="120">
        <f>F88*0.1+(F90*0.5*0.1)+(F92*0.5*0.1)+(F94*0.5*0.1)+(F96*0.5*0.1)+(F104*0.1)+(F114*0.1)+(F119*0.1)+(F124*0.1)+(F129*0.1)</f>
        <v>0</v>
      </c>
      <c r="G141" s="120">
        <f>G88*0.1+(G90*0.5*0.1)+(G92*0.5*0.1)+(G94*0.5*0.1)+(G96*0.5*0.1)+(G104*0.1)+(G114*0.1)+(G119*0.1)+(G124*0.1)+(G129*0.1)</f>
        <v>0</v>
      </c>
      <c r="H141" s="121">
        <f t="shared" ref="H141" si="47">F141+G141</f>
        <v>0</v>
      </c>
      <c r="I141" s="150"/>
      <c r="J141" s="150"/>
    </row>
    <row r="142" spans="2:10" x14ac:dyDescent="0.25">
      <c r="B142" t="s">
        <v>1086</v>
      </c>
      <c r="H142" s="107" cm="1">
        <f t="array" ref="H142">SUM('Green+Social Interface'!O18:O22+'Green+Social Interface'!T18:T22)</f>
        <v>0</v>
      </c>
    </row>
    <row r="143" spans="2:10" x14ac:dyDescent="0.25">
      <c r="B143" t="s">
        <v>1087</v>
      </c>
      <c r="H143" s="107" cm="1">
        <f t="array" ref="H143">SUM('Green+Social Interface'!D18:D22+'Green+Social Interface'!I18:I22)</f>
        <v>0</v>
      </c>
    </row>
  </sheetData>
  <sheetProtection algorithmName="SHA-512" hashValue="Xq4/QabeKM60Z+3SDDHETcQgZFa+DHvBRS70sQyZy/1gFyYrrAHxBwSFH3kMs1DNXmBUfLCpAAMA1a6YRvF2rA==" saltValue="yQDyoh0LvvY/WaBMKSDyBg==" spinCount="100000" sheet="1" selectLockedCells="1" selectUnlockedCells="1"/>
  <pageMargins left="0.7" right="0.7" top="0.75" bottom="0.75" header="0.3" footer="0.3"/>
  <pageSetup paperSize="9" orientation="portrait" horizontalDpi="1200" verticalDpi="1200"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79998168889431442"/>
  </sheetPr>
  <dimension ref="B1:AZ87"/>
  <sheetViews>
    <sheetView topLeftCell="B1" workbookViewId="0">
      <selection activeCell="M25" sqref="M25"/>
    </sheetView>
  </sheetViews>
  <sheetFormatPr defaultColWidth="9.140625" defaultRowHeight="15" x14ac:dyDescent="0.25"/>
  <cols>
    <col min="2" max="2" width="37.5703125" customWidth="1"/>
    <col min="3" max="3" width="50.42578125" customWidth="1"/>
    <col min="4" max="4" width="9.42578125"/>
    <col min="5" max="5" width="11.42578125" bestFit="1" customWidth="1"/>
    <col min="6" max="9" width="9.42578125"/>
    <col min="10" max="10" width="12.42578125" customWidth="1"/>
    <col min="11" max="11" width="14.42578125" bestFit="1" customWidth="1"/>
    <col min="12" max="12" width="16.5703125" customWidth="1"/>
    <col min="13" max="52" width="14.42578125" customWidth="1"/>
  </cols>
  <sheetData>
    <row r="1" spans="2:52" x14ac:dyDescent="0.25">
      <c r="B1" s="3" t="s">
        <v>13</v>
      </c>
      <c r="C1" s="4"/>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row>
    <row r="2" spans="2:52" x14ac:dyDescent="0.25">
      <c r="B2" s="3" t="s">
        <v>14</v>
      </c>
      <c r="C2" s="4"/>
      <c r="F2" s="5"/>
      <c r="G2" s="5"/>
      <c r="H2" s="171" t="s">
        <v>217</v>
      </c>
      <c r="I2" s="172"/>
      <c r="J2" s="172"/>
      <c r="K2" s="172"/>
      <c r="L2" s="5">
        <v>15</v>
      </c>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row>
    <row r="3" spans="2:52" x14ac:dyDescent="0.25">
      <c r="E3" s="126"/>
      <c r="F3" s="5"/>
      <c r="G3" s="5" t="s">
        <v>15</v>
      </c>
      <c r="H3" s="6">
        <v>0</v>
      </c>
      <c r="I3" s="6"/>
      <c r="J3" s="6"/>
      <c r="K3" s="6"/>
      <c r="L3" s="6"/>
      <c r="M3" s="6">
        <v>1</v>
      </c>
      <c r="N3" s="6">
        <v>2</v>
      </c>
      <c r="O3" s="6">
        <v>3</v>
      </c>
      <c r="P3" s="6">
        <v>4</v>
      </c>
      <c r="Q3" s="6">
        <v>5</v>
      </c>
      <c r="R3" s="6">
        <v>6</v>
      </c>
      <c r="S3" s="6">
        <v>7</v>
      </c>
      <c r="T3" s="6">
        <v>8</v>
      </c>
      <c r="U3" s="6">
        <v>9</v>
      </c>
      <c r="V3" s="6">
        <v>10</v>
      </c>
      <c r="W3" s="6">
        <v>11</v>
      </c>
      <c r="X3" s="6">
        <v>12</v>
      </c>
      <c r="Y3" s="6">
        <v>13</v>
      </c>
      <c r="Z3" s="6">
        <v>14</v>
      </c>
      <c r="AA3" s="6">
        <v>15</v>
      </c>
      <c r="AB3" s="6">
        <v>16</v>
      </c>
      <c r="AC3" s="6">
        <v>17</v>
      </c>
      <c r="AD3" s="6">
        <v>18</v>
      </c>
      <c r="AE3" s="6">
        <v>19</v>
      </c>
      <c r="AF3" s="6">
        <v>20</v>
      </c>
      <c r="AG3" s="6">
        <v>21</v>
      </c>
      <c r="AH3" s="6">
        <v>22</v>
      </c>
      <c r="AI3" s="6">
        <v>23</v>
      </c>
      <c r="AJ3" s="6">
        <v>24</v>
      </c>
      <c r="AK3" s="6">
        <v>25</v>
      </c>
      <c r="AL3" s="6">
        <v>26</v>
      </c>
      <c r="AM3" s="6">
        <v>27</v>
      </c>
      <c r="AN3" s="6">
        <v>28</v>
      </c>
      <c r="AO3" s="6">
        <v>29</v>
      </c>
      <c r="AP3" s="6">
        <v>30</v>
      </c>
      <c r="AQ3" s="6">
        <v>31</v>
      </c>
      <c r="AR3" s="6">
        <v>32</v>
      </c>
      <c r="AS3" s="6">
        <v>33</v>
      </c>
      <c r="AT3" s="6">
        <v>34</v>
      </c>
      <c r="AU3" s="6">
        <v>35</v>
      </c>
      <c r="AV3" s="6">
        <v>36</v>
      </c>
      <c r="AW3" s="6">
        <v>37</v>
      </c>
      <c r="AX3" s="6">
        <v>38</v>
      </c>
      <c r="AY3" s="6">
        <v>39</v>
      </c>
      <c r="AZ3" s="6">
        <v>40</v>
      </c>
    </row>
    <row r="4" spans="2:52" x14ac:dyDescent="0.25">
      <c r="B4" s="7" t="s">
        <v>16</v>
      </c>
      <c r="C4" s="8" t="s">
        <v>17</v>
      </c>
      <c r="D4" s="8" t="s">
        <v>18</v>
      </c>
      <c r="E4" s="8"/>
      <c r="F4" s="8"/>
      <c r="G4" s="8"/>
      <c r="H4" s="9"/>
      <c r="I4" s="10"/>
      <c r="J4" s="160" t="s">
        <v>151</v>
      </c>
      <c r="K4" s="160" t="s">
        <v>150</v>
      </c>
      <c r="L4" s="9" t="s">
        <v>23</v>
      </c>
      <c r="M4" s="12" t="s">
        <v>24</v>
      </c>
      <c r="N4" s="12" t="s">
        <v>25</v>
      </c>
      <c r="O4" s="12" t="s">
        <v>26</v>
      </c>
      <c r="P4" s="12" t="s">
        <v>27</v>
      </c>
      <c r="Q4" s="12" t="s">
        <v>28</v>
      </c>
      <c r="R4" s="12" t="s">
        <v>29</v>
      </c>
      <c r="S4" s="12" t="s">
        <v>30</v>
      </c>
      <c r="T4" s="12" t="s">
        <v>31</v>
      </c>
      <c r="U4" s="12" t="s">
        <v>32</v>
      </c>
      <c r="V4" s="12" t="s">
        <v>33</v>
      </c>
      <c r="W4" s="12" t="s">
        <v>34</v>
      </c>
      <c r="X4" s="12" t="s">
        <v>35</v>
      </c>
      <c r="Y4" s="12" t="s">
        <v>36</v>
      </c>
      <c r="Z4" s="12" t="s">
        <v>37</v>
      </c>
      <c r="AA4" s="12" t="s">
        <v>38</v>
      </c>
      <c r="AB4" s="12" t="s">
        <v>39</v>
      </c>
      <c r="AC4" s="12" t="s">
        <v>40</v>
      </c>
      <c r="AD4" s="12" t="s">
        <v>41</v>
      </c>
      <c r="AE4" s="12" t="s">
        <v>42</v>
      </c>
      <c r="AF4" s="12" t="s">
        <v>43</v>
      </c>
      <c r="AG4" s="12" t="s">
        <v>44</v>
      </c>
      <c r="AH4" s="12" t="s">
        <v>45</v>
      </c>
      <c r="AI4" s="12" t="s">
        <v>46</v>
      </c>
      <c r="AJ4" s="12" t="s">
        <v>47</v>
      </c>
      <c r="AK4" s="12" t="s">
        <v>48</v>
      </c>
      <c r="AL4" s="12" t="s">
        <v>49</v>
      </c>
      <c r="AM4" s="12" t="s">
        <v>50</v>
      </c>
      <c r="AN4" s="12" t="s">
        <v>51</v>
      </c>
      <c r="AO4" s="12" t="s">
        <v>52</v>
      </c>
      <c r="AP4" s="12" t="s">
        <v>53</v>
      </c>
      <c r="AQ4" s="12" t="s">
        <v>54</v>
      </c>
      <c r="AR4" s="12" t="s">
        <v>55</v>
      </c>
      <c r="AS4" s="12" t="s">
        <v>56</v>
      </c>
      <c r="AT4" s="12" t="s">
        <v>57</v>
      </c>
      <c r="AU4" s="12" t="s">
        <v>58</v>
      </c>
      <c r="AV4" s="12" t="s">
        <v>59</v>
      </c>
      <c r="AW4" s="12" t="s">
        <v>60</v>
      </c>
      <c r="AX4" s="12" t="s">
        <v>61</v>
      </c>
      <c r="AY4" s="12" t="s">
        <v>62</v>
      </c>
      <c r="AZ4" s="13" t="s">
        <v>63</v>
      </c>
    </row>
    <row r="5" spans="2:52" x14ac:dyDescent="0.25">
      <c r="B5" s="72" t="s">
        <v>64</v>
      </c>
      <c r="H5" s="15"/>
      <c r="J5" s="28"/>
      <c r="K5" s="28"/>
      <c r="L5" s="15"/>
    </row>
    <row r="6" spans="2:52" x14ac:dyDescent="0.25">
      <c r="B6" s="510" t="s">
        <v>962</v>
      </c>
      <c r="C6" s="511"/>
      <c r="D6" s="511"/>
      <c r="E6" s="512"/>
      <c r="F6" s="513" t="s">
        <v>984</v>
      </c>
      <c r="G6" s="514"/>
      <c r="H6" s="515"/>
      <c r="I6" s="521"/>
      <c r="J6" s="522"/>
      <c r="K6" s="523"/>
      <c r="L6" s="524"/>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row>
    <row r="7" spans="2:52" x14ac:dyDescent="0.25">
      <c r="B7" s="510"/>
      <c r="C7" s="511" t="s">
        <v>977</v>
      </c>
      <c r="D7" s="511" t="s">
        <v>70</v>
      </c>
      <c r="E7" s="516">
        <f>VLOOKUP($D$85,'Look-ups_2'!$B$118:$I$228,2,0)</f>
        <v>50.1</v>
      </c>
      <c r="F7" s="517">
        <f>E7*VLOOKUP('Green+Social Interface'!$I$38,'Look-ups'!$A$15:$B$43,2,0)*52</f>
        <v>2787.5640000000003</v>
      </c>
      <c r="G7" s="518">
        <f>'Green+Social Interface'!$O$6</f>
        <v>7.0000000000000007E-2</v>
      </c>
      <c r="H7" s="519" t="s">
        <v>1126</v>
      </c>
      <c r="I7" s="521"/>
      <c r="J7" s="523">
        <f t="shared" ref="J7:J15" si="0">IF(AND(K7&gt;0,$D$72&gt;0),K7/$D$72,0)</f>
        <v>0</v>
      </c>
      <c r="K7" s="523">
        <f>AVERAGE(M7:AZ7)</f>
        <v>0</v>
      </c>
      <c r="L7" s="524">
        <f>SUM(M7:AZ7)</f>
        <v>0</v>
      </c>
      <c r="M7" s="525">
        <f>$F$7*'Green+Social Interface'!$U$69</f>
        <v>0</v>
      </c>
      <c r="N7" s="546">
        <f>M7*(1+'Green+Social Interface'!$I$35)*G7</f>
        <v>0</v>
      </c>
      <c r="O7" s="525">
        <f t="shared" ref="O7:AZ7" si="1">N7*(1+$D$74)</f>
        <v>0</v>
      </c>
      <c r="P7" s="525">
        <f t="shared" si="1"/>
        <v>0</v>
      </c>
      <c r="Q7" s="525">
        <f t="shared" si="1"/>
        <v>0</v>
      </c>
      <c r="R7" s="525">
        <f t="shared" si="1"/>
        <v>0</v>
      </c>
      <c r="S7" s="525">
        <f t="shared" si="1"/>
        <v>0</v>
      </c>
      <c r="T7" s="525">
        <f t="shared" si="1"/>
        <v>0</v>
      </c>
      <c r="U7" s="525">
        <f t="shared" si="1"/>
        <v>0</v>
      </c>
      <c r="V7" s="525">
        <f t="shared" si="1"/>
        <v>0</v>
      </c>
      <c r="W7" s="525">
        <f t="shared" si="1"/>
        <v>0</v>
      </c>
      <c r="X7" s="525">
        <f t="shared" si="1"/>
        <v>0</v>
      </c>
      <c r="Y7" s="525">
        <f t="shared" si="1"/>
        <v>0</v>
      </c>
      <c r="Z7" s="525">
        <f t="shared" si="1"/>
        <v>0</v>
      </c>
      <c r="AA7" s="525">
        <f t="shared" si="1"/>
        <v>0</v>
      </c>
      <c r="AB7" s="525">
        <f t="shared" si="1"/>
        <v>0</v>
      </c>
      <c r="AC7" s="525">
        <f t="shared" si="1"/>
        <v>0</v>
      </c>
      <c r="AD7" s="525">
        <f t="shared" si="1"/>
        <v>0</v>
      </c>
      <c r="AE7" s="525">
        <f t="shared" si="1"/>
        <v>0</v>
      </c>
      <c r="AF7" s="525">
        <f t="shared" si="1"/>
        <v>0</v>
      </c>
      <c r="AG7" s="525">
        <f t="shared" si="1"/>
        <v>0</v>
      </c>
      <c r="AH7" s="525">
        <f t="shared" si="1"/>
        <v>0</v>
      </c>
      <c r="AI7" s="525">
        <f t="shared" si="1"/>
        <v>0</v>
      </c>
      <c r="AJ7" s="525">
        <f t="shared" si="1"/>
        <v>0</v>
      </c>
      <c r="AK7" s="525">
        <f t="shared" si="1"/>
        <v>0</v>
      </c>
      <c r="AL7" s="525">
        <f t="shared" si="1"/>
        <v>0</v>
      </c>
      <c r="AM7" s="525">
        <f t="shared" si="1"/>
        <v>0</v>
      </c>
      <c r="AN7" s="525">
        <f t="shared" si="1"/>
        <v>0</v>
      </c>
      <c r="AO7" s="525">
        <f t="shared" si="1"/>
        <v>0</v>
      </c>
      <c r="AP7" s="525">
        <f t="shared" si="1"/>
        <v>0</v>
      </c>
      <c r="AQ7" s="525">
        <f t="shared" si="1"/>
        <v>0</v>
      </c>
      <c r="AR7" s="525">
        <f t="shared" si="1"/>
        <v>0</v>
      </c>
      <c r="AS7" s="525">
        <f t="shared" si="1"/>
        <v>0</v>
      </c>
      <c r="AT7" s="525">
        <f t="shared" si="1"/>
        <v>0</v>
      </c>
      <c r="AU7" s="525">
        <f t="shared" si="1"/>
        <v>0</v>
      </c>
      <c r="AV7" s="525">
        <f t="shared" si="1"/>
        <v>0</v>
      </c>
      <c r="AW7" s="525">
        <f t="shared" si="1"/>
        <v>0</v>
      </c>
      <c r="AX7" s="525">
        <f t="shared" si="1"/>
        <v>0</v>
      </c>
      <c r="AY7" s="525">
        <f t="shared" si="1"/>
        <v>0</v>
      </c>
      <c r="AZ7" s="525">
        <f t="shared" si="1"/>
        <v>0</v>
      </c>
    </row>
    <row r="8" spans="2:52" x14ac:dyDescent="0.25">
      <c r="B8" s="510"/>
      <c r="C8" s="511" t="s">
        <v>978</v>
      </c>
      <c r="D8" s="511" t="s">
        <v>70</v>
      </c>
      <c r="E8" s="516">
        <f>VLOOKUP($D$85,'Look-ups_2'!$B$118:$I$228,3,0)</f>
        <v>38.04</v>
      </c>
      <c r="F8" s="517">
        <f>E8*VLOOKUP('Green+Social Interface'!$I$38,'Look-ups'!$A$15:$B$43,2,0)*52</f>
        <v>2116.5456000000004</v>
      </c>
      <c r="G8" s="518">
        <f>'Green+Social Interface'!$O$6</f>
        <v>7.0000000000000007E-2</v>
      </c>
      <c r="H8" s="519" t="s">
        <v>1126</v>
      </c>
      <c r="I8" s="521"/>
      <c r="J8" s="523">
        <f t="shared" si="0"/>
        <v>0</v>
      </c>
      <c r="K8" s="523">
        <f t="shared" ref="K8:K13" si="2">AVERAGE(M8:AZ8)</f>
        <v>0</v>
      </c>
      <c r="L8" s="524">
        <f t="shared" ref="L8:L13" si="3">SUM(M8:AZ8)</f>
        <v>0</v>
      </c>
      <c r="M8" s="525">
        <f>$F$8*'Green+Social Interface'!$U$61</f>
        <v>0</v>
      </c>
      <c r="N8" s="546">
        <f>M8*(1+'Green+Social Interface'!$I$35)*G8</f>
        <v>0</v>
      </c>
      <c r="O8" s="525">
        <f t="shared" ref="O8:AZ8" si="4">N8*(1+$D$74)</f>
        <v>0</v>
      </c>
      <c r="P8" s="525">
        <f t="shared" si="4"/>
        <v>0</v>
      </c>
      <c r="Q8" s="525">
        <f t="shared" si="4"/>
        <v>0</v>
      </c>
      <c r="R8" s="525">
        <f t="shared" si="4"/>
        <v>0</v>
      </c>
      <c r="S8" s="525">
        <f t="shared" si="4"/>
        <v>0</v>
      </c>
      <c r="T8" s="525">
        <f t="shared" si="4"/>
        <v>0</v>
      </c>
      <c r="U8" s="525">
        <f t="shared" si="4"/>
        <v>0</v>
      </c>
      <c r="V8" s="525">
        <f t="shared" si="4"/>
        <v>0</v>
      </c>
      <c r="W8" s="525">
        <f t="shared" si="4"/>
        <v>0</v>
      </c>
      <c r="X8" s="525">
        <f t="shared" si="4"/>
        <v>0</v>
      </c>
      <c r="Y8" s="525">
        <f t="shared" si="4"/>
        <v>0</v>
      </c>
      <c r="Z8" s="525">
        <f t="shared" si="4"/>
        <v>0</v>
      </c>
      <c r="AA8" s="525">
        <f t="shared" si="4"/>
        <v>0</v>
      </c>
      <c r="AB8" s="525">
        <f t="shared" si="4"/>
        <v>0</v>
      </c>
      <c r="AC8" s="525">
        <f t="shared" si="4"/>
        <v>0</v>
      </c>
      <c r="AD8" s="525">
        <f t="shared" si="4"/>
        <v>0</v>
      </c>
      <c r="AE8" s="525">
        <f t="shared" si="4"/>
        <v>0</v>
      </c>
      <c r="AF8" s="525">
        <f t="shared" si="4"/>
        <v>0</v>
      </c>
      <c r="AG8" s="525">
        <f t="shared" si="4"/>
        <v>0</v>
      </c>
      <c r="AH8" s="525">
        <f t="shared" si="4"/>
        <v>0</v>
      </c>
      <c r="AI8" s="525">
        <f t="shared" si="4"/>
        <v>0</v>
      </c>
      <c r="AJ8" s="525">
        <f t="shared" si="4"/>
        <v>0</v>
      </c>
      <c r="AK8" s="525">
        <f t="shared" si="4"/>
        <v>0</v>
      </c>
      <c r="AL8" s="525">
        <f t="shared" si="4"/>
        <v>0</v>
      </c>
      <c r="AM8" s="525">
        <f t="shared" si="4"/>
        <v>0</v>
      </c>
      <c r="AN8" s="525">
        <f t="shared" si="4"/>
        <v>0</v>
      </c>
      <c r="AO8" s="525">
        <f t="shared" si="4"/>
        <v>0</v>
      </c>
      <c r="AP8" s="525">
        <f t="shared" si="4"/>
        <v>0</v>
      </c>
      <c r="AQ8" s="525">
        <f t="shared" si="4"/>
        <v>0</v>
      </c>
      <c r="AR8" s="525">
        <f t="shared" si="4"/>
        <v>0</v>
      </c>
      <c r="AS8" s="525">
        <f t="shared" si="4"/>
        <v>0</v>
      </c>
      <c r="AT8" s="525">
        <f t="shared" si="4"/>
        <v>0</v>
      </c>
      <c r="AU8" s="525">
        <f t="shared" si="4"/>
        <v>0</v>
      </c>
      <c r="AV8" s="525">
        <f t="shared" si="4"/>
        <v>0</v>
      </c>
      <c r="AW8" s="525">
        <f t="shared" si="4"/>
        <v>0</v>
      </c>
      <c r="AX8" s="525">
        <f t="shared" si="4"/>
        <v>0</v>
      </c>
      <c r="AY8" s="525">
        <f t="shared" si="4"/>
        <v>0</v>
      </c>
      <c r="AZ8" s="525">
        <f t="shared" si="4"/>
        <v>0</v>
      </c>
    </row>
    <row r="9" spans="2:52" x14ac:dyDescent="0.25">
      <c r="B9" s="510"/>
      <c r="C9" s="511" t="s">
        <v>979</v>
      </c>
      <c r="D9" s="511" t="s">
        <v>70</v>
      </c>
      <c r="E9" s="516">
        <f>VLOOKUP($D$85,'Look-ups_2'!$B$118:$I$228,4,0)</f>
        <v>36.96</v>
      </c>
      <c r="F9" s="517">
        <f>E9*VLOOKUP('Green+Social Interface'!$I$38,'Look-ups'!$A$15:$B$43,2,0)*52</f>
        <v>2056.4544000000001</v>
      </c>
      <c r="G9" s="518">
        <f>'Green+Social Interface'!$O$6</f>
        <v>7.0000000000000007E-2</v>
      </c>
      <c r="H9" s="519" t="s">
        <v>1126</v>
      </c>
      <c r="I9" s="521"/>
      <c r="J9" s="523">
        <f t="shared" si="0"/>
        <v>0</v>
      </c>
      <c r="K9" s="523">
        <f t="shared" si="2"/>
        <v>0</v>
      </c>
      <c r="L9" s="524">
        <f t="shared" si="3"/>
        <v>0</v>
      </c>
      <c r="M9" s="525">
        <f>($F$9*$D$86*(1-'Green+Social Interface'!$O$11))</f>
        <v>0</v>
      </c>
      <c r="N9" s="546">
        <f>M9*(1+'Green+Social Interface'!$I$35)*G9</f>
        <v>0</v>
      </c>
      <c r="O9" s="525">
        <f>N9*(1+$D$74)</f>
        <v>0</v>
      </c>
      <c r="P9" s="525">
        <f t="shared" ref="P9:AZ9" si="5">O9*(1+$D$74)</f>
        <v>0</v>
      </c>
      <c r="Q9" s="525">
        <f t="shared" si="5"/>
        <v>0</v>
      </c>
      <c r="R9" s="525">
        <f t="shared" si="5"/>
        <v>0</v>
      </c>
      <c r="S9" s="525">
        <f t="shared" si="5"/>
        <v>0</v>
      </c>
      <c r="T9" s="525">
        <f t="shared" si="5"/>
        <v>0</v>
      </c>
      <c r="U9" s="525">
        <f t="shared" si="5"/>
        <v>0</v>
      </c>
      <c r="V9" s="525">
        <f t="shared" si="5"/>
        <v>0</v>
      </c>
      <c r="W9" s="525">
        <f t="shared" si="5"/>
        <v>0</v>
      </c>
      <c r="X9" s="525">
        <f t="shared" si="5"/>
        <v>0</v>
      </c>
      <c r="Y9" s="525">
        <f t="shared" si="5"/>
        <v>0</v>
      </c>
      <c r="Z9" s="525">
        <f t="shared" si="5"/>
        <v>0</v>
      </c>
      <c r="AA9" s="525">
        <f t="shared" si="5"/>
        <v>0</v>
      </c>
      <c r="AB9" s="525">
        <f t="shared" si="5"/>
        <v>0</v>
      </c>
      <c r="AC9" s="525">
        <f t="shared" si="5"/>
        <v>0</v>
      </c>
      <c r="AD9" s="525">
        <f t="shared" si="5"/>
        <v>0</v>
      </c>
      <c r="AE9" s="525">
        <f t="shared" si="5"/>
        <v>0</v>
      </c>
      <c r="AF9" s="525">
        <f t="shared" si="5"/>
        <v>0</v>
      </c>
      <c r="AG9" s="525">
        <f t="shared" si="5"/>
        <v>0</v>
      </c>
      <c r="AH9" s="525">
        <f t="shared" si="5"/>
        <v>0</v>
      </c>
      <c r="AI9" s="525">
        <f t="shared" si="5"/>
        <v>0</v>
      </c>
      <c r="AJ9" s="525">
        <f t="shared" si="5"/>
        <v>0</v>
      </c>
      <c r="AK9" s="525">
        <f t="shared" si="5"/>
        <v>0</v>
      </c>
      <c r="AL9" s="525">
        <f t="shared" si="5"/>
        <v>0</v>
      </c>
      <c r="AM9" s="525">
        <f t="shared" si="5"/>
        <v>0</v>
      </c>
      <c r="AN9" s="525">
        <f t="shared" si="5"/>
        <v>0</v>
      </c>
      <c r="AO9" s="525">
        <f t="shared" si="5"/>
        <v>0</v>
      </c>
      <c r="AP9" s="525">
        <f t="shared" si="5"/>
        <v>0</v>
      </c>
      <c r="AQ9" s="525">
        <f t="shared" si="5"/>
        <v>0</v>
      </c>
      <c r="AR9" s="525">
        <f t="shared" si="5"/>
        <v>0</v>
      </c>
      <c r="AS9" s="525">
        <f t="shared" si="5"/>
        <v>0</v>
      </c>
      <c r="AT9" s="525">
        <f t="shared" si="5"/>
        <v>0</v>
      </c>
      <c r="AU9" s="525">
        <f t="shared" si="5"/>
        <v>0</v>
      </c>
      <c r="AV9" s="525">
        <f t="shared" si="5"/>
        <v>0</v>
      </c>
      <c r="AW9" s="525">
        <f t="shared" si="5"/>
        <v>0</v>
      </c>
      <c r="AX9" s="525">
        <f t="shared" si="5"/>
        <v>0</v>
      </c>
      <c r="AY9" s="525">
        <f t="shared" si="5"/>
        <v>0</v>
      </c>
      <c r="AZ9" s="525">
        <f t="shared" si="5"/>
        <v>0</v>
      </c>
    </row>
    <row r="10" spans="2:52" x14ac:dyDescent="0.25">
      <c r="B10" s="510"/>
      <c r="C10" s="511" t="s">
        <v>980</v>
      </c>
      <c r="D10" s="511" t="s">
        <v>70</v>
      </c>
      <c r="E10" s="516">
        <f>VLOOKUP($D$85,'Look-ups_2'!$B$118:$I$228,5,0)</f>
        <v>21.15</v>
      </c>
      <c r="F10" s="517">
        <f>E10*VLOOKUP('Green+Social Interface'!$I$38,'Look-ups'!$A$15:$B$43,2,0)*52</f>
        <v>1176.7860000000001</v>
      </c>
      <c r="G10" s="518">
        <f>'Green+Social Interface'!$O$6</f>
        <v>7.0000000000000007E-2</v>
      </c>
      <c r="H10" s="519" t="s">
        <v>1126</v>
      </c>
      <c r="I10" s="521"/>
      <c r="J10" s="523">
        <f t="shared" si="0"/>
        <v>0</v>
      </c>
      <c r="K10" s="523">
        <f t="shared" si="2"/>
        <v>0</v>
      </c>
      <c r="L10" s="524">
        <f t="shared" si="3"/>
        <v>0</v>
      </c>
      <c r="M10" s="525">
        <f>$F$10*'Green+Social Interface'!$U$72</f>
        <v>0</v>
      </c>
      <c r="N10" s="546">
        <f>M10*(1+'Green+Social Interface'!$I$35)*G10</f>
        <v>0</v>
      </c>
      <c r="O10" s="525">
        <f>N10*(1+$D$74)</f>
        <v>0</v>
      </c>
      <c r="P10" s="525">
        <f t="shared" ref="P10:AZ10" si="6">O10*(1+$D$74)</f>
        <v>0</v>
      </c>
      <c r="Q10" s="525">
        <f t="shared" si="6"/>
        <v>0</v>
      </c>
      <c r="R10" s="525">
        <f t="shared" si="6"/>
        <v>0</v>
      </c>
      <c r="S10" s="525">
        <f t="shared" si="6"/>
        <v>0</v>
      </c>
      <c r="T10" s="525">
        <f t="shared" si="6"/>
        <v>0</v>
      </c>
      <c r="U10" s="525">
        <f t="shared" si="6"/>
        <v>0</v>
      </c>
      <c r="V10" s="525">
        <f t="shared" si="6"/>
        <v>0</v>
      </c>
      <c r="W10" s="525">
        <f t="shared" si="6"/>
        <v>0</v>
      </c>
      <c r="X10" s="525">
        <f t="shared" si="6"/>
        <v>0</v>
      </c>
      <c r="Y10" s="525">
        <f t="shared" si="6"/>
        <v>0</v>
      </c>
      <c r="Z10" s="525">
        <f t="shared" si="6"/>
        <v>0</v>
      </c>
      <c r="AA10" s="525">
        <f t="shared" si="6"/>
        <v>0</v>
      </c>
      <c r="AB10" s="525">
        <f t="shared" si="6"/>
        <v>0</v>
      </c>
      <c r="AC10" s="525">
        <f t="shared" si="6"/>
        <v>0</v>
      </c>
      <c r="AD10" s="525">
        <f t="shared" si="6"/>
        <v>0</v>
      </c>
      <c r="AE10" s="525">
        <f t="shared" si="6"/>
        <v>0</v>
      </c>
      <c r="AF10" s="525">
        <f t="shared" si="6"/>
        <v>0</v>
      </c>
      <c r="AG10" s="525">
        <f t="shared" si="6"/>
        <v>0</v>
      </c>
      <c r="AH10" s="525">
        <f t="shared" si="6"/>
        <v>0</v>
      </c>
      <c r="AI10" s="525">
        <f t="shared" si="6"/>
        <v>0</v>
      </c>
      <c r="AJ10" s="525">
        <f t="shared" si="6"/>
        <v>0</v>
      </c>
      <c r="AK10" s="525">
        <f t="shared" si="6"/>
        <v>0</v>
      </c>
      <c r="AL10" s="525">
        <f t="shared" si="6"/>
        <v>0</v>
      </c>
      <c r="AM10" s="525">
        <f t="shared" si="6"/>
        <v>0</v>
      </c>
      <c r="AN10" s="525">
        <f t="shared" si="6"/>
        <v>0</v>
      </c>
      <c r="AO10" s="525">
        <f t="shared" si="6"/>
        <v>0</v>
      </c>
      <c r="AP10" s="525">
        <f t="shared" si="6"/>
        <v>0</v>
      </c>
      <c r="AQ10" s="525">
        <f t="shared" si="6"/>
        <v>0</v>
      </c>
      <c r="AR10" s="525">
        <f t="shared" si="6"/>
        <v>0</v>
      </c>
      <c r="AS10" s="525">
        <f t="shared" si="6"/>
        <v>0</v>
      </c>
      <c r="AT10" s="525">
        <f t="shared" si="6"/>
        <v>0</v>
      </c>
      <c r="AU10" s="525">
        <f t="shared" si="6"/>
        <v>0</v>
      </c>
      <c r="AV10" s="525">
        <f t="shared" si="6"/>
        <v>0</v>
      </c>
      <c r="AW10" s="525">
        <f t="shared" si="6"/>
        <v>0</v>
      </c>
      <c r="AX10" s="525">
        <f t="shared" si="6"/>
        <v>0</v>
      </c>
      <c r="AY10" s="525">
        <f t="shared" si="6"/>
        <v>0</v>
      </c>
      <c r="AZ10" s="525">
        <f t="shared" si="6"/>
        <v>0</v>
      </c>
    </row>
    <row r="11" spans="2:52" x14ac:dyDescent="0.25">
      <c r="B11" s="510"/>
      <c r="C11" s="511" t="s">
        <v>981</v>
      </c>
      <c r="D11" s="511" t="s">
        <v>70</v>
      </c>
      <c r="E11" s="516">
        <f>VLOOKUP($D$85,'Look-ups_2'!$B$118:$I$228,6,0)</f>
        <v>13.79</v>
      </c>
      <c r="F11" s="517">
        <f>E11*VLOOKUP('Green+Social Interface'!$I$38,'Look-ups'!$A$15:$B$43,2,0)*52</f>
        <v>767.27560000000005</v>
      </c>
      <c r="G11" s="518">
        <f>'Green+Social Interface'!$O$6</f>
        <v>7.0000000000000007E-2</v>
      </c>
      <c r="H11" s="519" t="s">
        <v>1126</v>
      </c>
      <c r="I11" s="521"/>
      <c r="J11" s="523">
        <f t="shared" si="0"/>
        <v>0</v>
      </c>
      <c r="K11" s="523">
        <f t="shared" si="2"/>
        <v>0</v>
      </c>
      <c r="L11" s="524">
        <f t="shared" si="3"/>
        <v>0</v>
      </c>
      <c r="M11" s="525">
        <f>$F$11*'Green+Social Interface'!$U$73</f>
        <v>0</v>
      </c>
      <c r="N11" s="546">
        <f>M11*(1+'Green+Social Interface'!$I$35)*G11</f>
        <v>0</v>
      </c>
      <c r="O11" s="525">
        <f>N11*(1+$D$74)</f>
        <v>0</v>
      </c>
      <c r="P11" s="525">
        <f t="shared" ref="P11:AZ11" si="7">O11*(1+$D$74)</f>
        <v>0</v>
      </c>
      <c r="Q11" s="525">
        <f t="shared" si="7"/>
        <v>0</v>
      </c>
      <c r="R11" s="525">
        <f t="shared" si="7"/>
        <v>0</v>
      </c>
      <c r="S11" s="525">
        <f t="shared" si="7"/>
        <v>0</v>
      </c>
      <c r="T11" s="525">
        <f t="shared" si="7"/>
        <v>0</v>
      </c>
      <c r="U11" s="525">
        <f t="shared" si="7"/>
        <v>0</v>
      </c>
      <c r="V11" s="525">
        <f t="shared" si="7"/>
        <v>0</v>
      </c>
      <c r="W11" s="525">
        <f t="shared" si="7"/>
        <v>0</v>
      </c>
      <c r="X11" s="525">
        <f t="shared" si="7"/>
        <v>0</v>
      </c>
      <c r="Y11" s="525">
        <f t="shared" si="7"/>
        <v>0</v>
      </c>
      <c r="Z11" s="525">
        <f t="shared" si="7"/>
        <v>0</v>
      </c>
      <c r="AA11" s="525">
        <f t="shared" si="7"/>
        <v>0</v>
      </c>
      <c r="AB11" s="525">
        <f t="shared" si="7"/>
        <v>0</v>
      </c>
      <c r="AC11" s="525">
        <f t="shared" si="7"/>
        <v>0</v>
      </c>
      <c r="AD11" s="525">
        <f t="shared" si="7"/>
        <v>0</v>
      </c>
      <c r="AE11" s="525">
        <f t="shared" si="7"/>
        <v>0</v>
      </c>
      <c r="AF11" s="525">
        <f t="shared" si="7"/>
        <v>0</v>
      </c>
      <c r="AG11" s="525">
        <f t="shared" si="7"/>
        <v>0</v>
      </c>
      <c r="AH11" s="525">
        <f t="shared" si="7"/>
        <v>0</v>
      </c>
      <c r="AI11" s="525">
        <f t="shared" si="7"/>
        <v>0</v>
      </c>
      <c r="AJ11" s="525">
        <f t="shared" si="7"/>
        <v>0</v>
      </c>
      <c r="AK11" s="525">
        <f t="shared" si="7"/>
        <v>0</v>
      </c>
      <c r="AL11" s="525">
        <f t="shared" si="7"/>
        <v>0</v>
      </c>
      <c r="AM11" s="525">
        <f t="shared" si="7"/>
        <v>0</v>
      </c>
      <c r="AN11" s="525">
        <f t="shared" si="7"/>
        <v>0</v>
      </c>
      <c r="AO11" s="525">
        <f t="shared" si="7"/>
        <v>0</v>
      </c>
      <c r="AP11" s="525">
        <f t="shared" si="7"/>
        <v>0</v>
      </c>
      <c r="AQ11" s="525">
        <f t="shared" si="7"/>
        <v>0</v>
      </c>
      <c r="AR11" s="525">
        <f t="shared" si="7"/>
        <v>0</v>
      </c>
      <c r="AS11" s="525">
        <f t="shared" si="7"/>
        <v>0</v>
      </c>
      <c r="AT11" s="525">
        <f t="shared" si="7"/>
        <v>0</v>
      </c>
      <c r="AU11" s="525">
        <f t="shared" si="7"/>
        <v>0</v>
      </c>
      <c r="AV11" s="525">
        <f t="shared" si="7"/>
        <v>0</v>
      </c>
      <c r="AW11" s="525">
        <f t="shared" si="7"/>
        <v>0</v>
      </c>
      <c r="AX11" s="525">
        <f t="shared" si="7"/>
        <v>0</v>
      </c>
      <c r="AY11" s="525">
        <f t="shared" si="7"/>
        <v>0</v>
      </c>
      <c r="AZ11" s="525">
        <f t="shared" si="7"/>
        <v>0</v>
      </c>
    </row>
    <row r="12" spans="2:52" x14ac:dyDescent="0.25">
      <c r="B12" s="510"/>
      <c r="C12" s="511" t="s">
        <v>982</v>
      </c>
      <c r="D12" s="511" t="s">
        <v>70</v>
      </c>
      <c r="E12" s="516">
        <f>VLOOKUP($D$85,'Look-ups_2'!$B$118:$I$228,7,0)</f>
        <v>12.13</v>
      </c>
      <c r="F12" s="517">
        <f>E12*VLOOKUP('Green+Social Interface'!$I$38,'Look-ups'!$A$15:$B$43,2,0)*52</f>
        <v>674.91320000000007</v>
      </c>
      <c r="G12" s="518">
        <f>'Green+Social Interface'!$O$6</f>
        <v>7.0000000000000007E-2</v>
      </c>
      <c r="H12" s="519" t="s">
        <v>1126</v>
      </c>
      <c r="I12" s="521"/>
      <c r="J12" s="523">
        <f t="shared" si="0"/>
        <v>0</v>
      </c>
      <c r="K12" s="523">
        <f t="shared" si="2"/>
        <v>0</v>
      </c>
      <c r="L12" s="524">
        <f t="shared" si="3"/>
        <v>0</v>
      </c>
      <c r="M12" s="525">
        <f>$F$12*'Green+Social Interface'!$U$64</f>
        <v>0</v>
      </c>
      <c r="N12" s="546">
        <f>M12*(1+'Green+Social Interface'!$I$35)*G12</f>
        <v>0</v>
      </c>
      <c r="O12" s="525">
        <f>N12*(1+$D$74)</f>
        <v>0</v>
      </c>
      <c r="P12" s="525">
        <f t="shared" ref="P12:AZ12" si="8">O12*(1+$D$74)</f>
        <v>0</v>
      </c>
      <c r="Q12" s="525">
        <f t="shared" si="8"/>
        <v>0</v>
      </c>
      <c r="R12" s="525">
        <f t="shared" si="8"/>
        <v>0</v>
      </c>
      <c r="S12" s="525">
        <f t="shared" si="8"/>
        <v>0</v>
      </c>
      <c r="T12" s="525">
        <f t="shared" si="8"/>
        <v>0</v>
      </c>
      <c r="U12" s="525">
        <f t="shared" si="8"/>
        <v>0</v>
      </c>
      <c r="V12" s="525">
        <f t="shared" si="8"/>
        <v>0</v>
      </c>
      <c r="W12" s="525">
        <f t="shared" si="8"/>
        <v>0</v>
      </c>
      <c r="X12" s="525">
        <f t="shared" si="8"/>
        <v>0</v>
      </c>
      <c r="Y12" s="525">
        <f t="shared" si="8"/>
        <v>0</v>
      </c>
      <c r="Z12" s="525">
        <f t="shared" si="8"/>
        <v>0</v>
      </c>
      <c r="AA12" s="525">
        <f t="shared" si="8"/>
        <v>0</v>
      </c>
      <c r="AB12" s="525">
        <f t="shared" si="8"/>
        <v>0</v>
      </c>
      <c r="AC12" s="525">
        <f t="shared" si="8"/>
        <v>0</v>
      </c>
      <c r="AD12" s="525">
        <f t="shared" si="8"/>
        <v>0</v>
      </c>
      <c r="AE12" s="525">
        <f t="shared" si="8"/>
        <v>0</v>
      </c>
      <c r="AF12" s="525">
        <f t="shared" si="8"/>
        <v>0</v>
      </c>
      <c r="AG12" s="525">
        <f t="shared" si="8"/>
        <v>0</v>
      </c>
      <c r="AH12" s="525">
        <f t="shared" si="8"/>
        <v>0</v>
      </c>
      <c r="AI12" s="525">
        <f t="shared" si="8"/>
        <v>0</v>
      </c>
      <c r="AJ12" s="525">
        <f t="shared" si="8"/>
        <v>0</v>
      </c>
      <c r="AK12" s="525">
        <f t="shared" si="8"/>
        <v>0</v>
      </c>
      <c r="AL12" s="525">
        <f t="shared" si="8"/>
        <v>0</v>
      </c>
      <c r="AM12" s="525">
        <f t="shared" si="8"/>
        <v>0</v>
      </c>
      <c r="AN12" s="525">
        <f t="shared" si="8"/>
        <v>0</v>
      </c>
      <c r="AO12" s="525">
        <f t="shared" si="8"/>
        <v>0</v>
      </c>
      <c r="AP12" s="525">
        <f t="shared" si="8"/>
        <v>0</v>
      </c>
      <c r="AQ12" s="525">
        <f t="shared" si="8"/>
        <v>0</v>
      </c>
      <c r="AR12" s="525">
        <f t="shared" si="8"/>
        <v>0</v>
      </c>
      <c r="AS12" s="525">
        <f t="shared" si="8"/>
        <v>0</v>
      </c>
      <c r="AT12" s="525">
        <f t="shared" si="8"/>
        <v>0</v>
      </c>
      <c r="AU12" s="525">
        <f t="shared" si="8"/>
        <v>0</v>
      </c>
      <c r="AV12" s="525">
        <f t="shared" si="8"/>
        <v>0</v>
      </c>
      <c r="AW12" s="525">
        <f t="shared" si="8"/>
        <v>0</v>
      </c>
      <c r="AX12" s="525">
        <f t="shared" si="8"/>
        <v>0</v>
      </c>
      <c r="AY12" s="525">
        <f t="shared" si="8"/>
        <v>0</v>
      </c>
      <c r="AZ12" s="525">
        <f t="shared" si="8"/>
        <v>0</v>
      </c>
    </row>
    <row r="13" spans="2:52" x14ac:dyDescent="0.25">
      <c r="B13" s="510"/>
      <c r="C13" s="511" t="s">
        <v>983</v>
      </c>
      <c r="D13" s="511" t="s">
        <v>70</v>
      </c>
      <c r="E13" s="516">
        <f>VLOOKUP($D$85,'Look-ups_2'!$B$118:$I$228,8,0)</f>
        <v>38.94</v>
      </c>
      <c r="F13" s="517">
        <f>E13*VLOOKUP('Green+Social Interface'!$I$38,'Look-ups'!$A$15:$B$43,2,0)*52</f>
        <v>2166.6215999999999</v>
      </c>
      <c r="G13" s="518">
        <f>'Green+Social Interface'!$O$6</f>
        <v>7.0000000000000007E-2</v>
      </c>
      <c r="H13" s="519" t="s">
        <v>1126</v>
      </c>
      <c r="I13" s="521"/>
      <c r="J13" s="523">
        <f t="shared" si="0"/>
        <v>0</v>
      </c>
      <c r="K13" s="523">
        <f t="shared" si="2"/>
        <v>0</v>
      </c>
      <c r="L13" s="524">
        <f t="shared" si="3"/>
        <v>0</v>
      </c>
      <c r="M13" s="525">
        <f>$F$13*'Green+Social Interface'!$U$65</f>
        <v>0</v>
      </c>
      <c r="N13" s="546">
        <f>M13*(1+'Green+Social Interface'!$I$35)*G13</f>
        <v>0</v>
      </c>
      <c r="O13" s="525">
        <f>N13*(1+$D$74)</f>
        <v>0</v>
      </c>
      <c r="P13" s="525">
        <f t="shared" ref="P13:AZ13" si="9">O13*(1+$D$74)</f>
        <v>0</v>
      </c>
      <c r="Q13" s="525">
        <f t="shared" si="9"/>
        <v>0</v>
      </c>
      <c r="R13" s="525">
        <f t="shared" si="9"/>
        <v>0</v>
      </c>
      <c r="S13" s="525">
        <f t="shared" si="9"/>
        <v>0</v>
      </c>
      <c r="T13" s="525">
        <f t="shared" si="9"/>
        <v>0</v>
      </c>
      <c r="U13" s="525">
        <f t="shared" si="9"/>
        <v>0</v>
      </c>
      <c r="V13" s="525">
        <f t="shared" si="9"/>
        <v>0</v>
      </c>
      <c r="W13" s="525">
        <f t="shared" si="9"/>
        <v>0</v>
      </c>
      <c r="X13" s="525">
        <f t="shared" si="9"/>
        <v>0</v>
      </c>
      <c r="Y13" s="525">
        <f t="shared" si="9"/>
        <v>0</v>
      </c>
      <c r="Z13" s="525">
        <f t="shared" si="9"/>
        <v>0</v>
      </c>
      <c r="AA13" s="525">
        <f t="shared" si="9"/>
        <v>0</v>
      </c>
      <c r="AB13" s="525">
        <f t="shared" si="9"/>
        <v>0</v>
      </c>
      <c r="AC13" s="525">
        <f t="shared" si="9"/>
        <v>0</v>
      </c>
      <c r="AD13" s="525">
        <f t="shared" si="9"/>
        <v>0</v>
      </c>
      <c r="AE13" s="525">
        <f t="shared" si="9"/>
        <v>0</v>
      </c>
      <c r="AF13" s="525">
        <f t="shared" si="9"/>
        <v>0</v>
      </c>
      <c r="AG13" s="525">
        <f t="shared" si="9"/>
        <v>0</v>
      </c>
      <c r="AH13" s="525">
        <f t="shared" si="9"/>
        <v>0</v>
      </c>
      <c r="AI13" s="525">
        <f t="shared" si="9"/>
        <v>0</v>
      </c>
      <c r="AJ13" s="525">
        <f t="shared" si="9"/>
        <v>0</v>
      </c>
      <c r="AK13" s="525">
        <f t="shared" si="9"/>
        <v>0</v>
      </c>
      <c r="AL13" s="525">
        <f t="shared" si="9"/>
        <v>0</v>
      </c>
      <c r="AM13" s="525">
        <f t="shared" si="9"/>
        <v>0</v>
      </c>
      <c r="AN13" s="525">
        <f t="shared" si="9"/>
        <v>0</v>
      </c>
      <c r="AO13" s="525">
        <f t="shared" si="9"/>
        <v>0</v>
      </c>
      <c r="AP13" s="525">
        <f t="shared" si="9"/>
        <v>0</v>
      </c>
      <c r="AQ13" s="525">
        <f t="shared" si="9"/>
        <v>0</v>
      </c>
      <c r="AR13" s="525">
        <f t="shared" si="9"/>
        <v>0</v>
      </c>
      <c r="AS13" s="525">
        <f t="shared" si="9"/>
        <v>0</v>
      </c>
      <c r="AT13" s="525">
        <f t="shared" si="9"/>
        <v>0</v>
      </c>
      <c r="AU13" s="525">
        <f t="shared" si="9"/>
        <v>0</v>
      </c>
      <c r="AV13" s="525">
        <f t="shared" si="9"/>
        <v>0</v>
      </c>
      <c r="AW13" s="525">
        <f t="shared" si="9"/>
        <v>0</v>
      </c>
      <c r="AX13" s="525">
        <f t="shared" si="9"/>
        <v>0</v>
      </c>
      <c r="AY13" s="525">
        <f t="shared" si="9"/>
        <v>0</v>
      </c>
      <c r="AZ13" s="525">
        <f t="shared" si="9"/>
        <v>0</v>
      </c>
    </row>
    <row r="14" spans="2:52" x14ac:dyDescent="0.25">
      <c r="B14" s="520" t="s">
        <v>1129</v>
      </c>
      <c r="C14" s="511"/>
      <c r="D14" s="511"/>
      <c r="E14" s="516"/>
      <c r="F14" s="517"/>
      <c r="G14" s="514"/>
      <c r="H14" s="515"/>
      <c r="I14" s="521"/>
      <c r="J14" s="523">
        <f t="shared" si="0"/>
        <v>0</v>
      </c>
      <c r="K14" s="523">
        <f>AVERAGE(M14:AZ14)</f>
        <v>0</v>
      </c>
      <c r="L14" s="524">
        <f>SUM(M14:AZ14)</f>
        <v>0</v>
      </c>
      <c r="M14" s="525">
        <f>SUM(M7:M13)</f>
        <v>0</v>
      </c>
      <c r="N14" s="525">
        <f t="shared" ref="N14:AZ14" si="10">SUM(N7:N13)</f>
        <v>0</v>
      </c>
      <c r="O14" s="525">
        <f t="shared" si="10"/>
        <v>0</v>
      </c>
      <c r="P14" s="525">
        <f t="shared" si="10"/>
        <v>0</v>
      </c>
      <c r="Q14" s="525">
        <f t="shared" si="10"/>
        <v>0</v>
      </c>
      <c r="R14" s="525">
        <f t="shared" si="10"/>
        <v>0</v>
      </c>
      <c r="S14" s="525">
        <f t="shared" si="10"/>
        <v>0</v>
      </c>
      <c r="T14" s="525">
        <f t="shared" si="10"/>
        <v>0</v>
      </c>
      <c r="U14" s="525">
        <f t="shared" si="10"/>
        <v>0</v>
      </c>
      <c r="V14" s="525">
        <f t="shared" si="10"/>
        <v>0</v>
      </c>
      <c r="W14" s="525">
        <f t="shared" si="10"/>
        <v>0</v>
      </c>
      <c r="X14" s="525">
        <f t="shared" si="10"/>
        <v>0</v>
      </c>
      <c r="Y14" s="525">
        <f t="shared" si="10"/>
        <v>0</v>
      </c>
      <c r="Z14" s="525">
        <f t="shared" si="10"/>
        <v>0</v>
      </c>
      <c r="AA14" s="525">
        <f t="shared" si="10"/>
        <v>0</v>
      </c>
      <c r="AB14" s="525">
        <f t="shared" si="10"/>
        <v>0</v>
      </c>
      <c r="AC14" s="525">
        <f t="shared" si="10"/>
        <v>0</v>
      </c>
      <c r="AD14" s="525">
        <f t="shared" si="10"/>
        <v>0</v>
      </c>
      <c r="AE14" s="525">
        <f t="shared" si="10"/>
        <v>0</v>
      </c>
      <c r="AF14" s="525">
        <f t="shared" si="10"/>
        <v>0</v>
      </c>
      <c r="AG14" s="525">
        <f t="shared" si="10"/>
        <v>0</v>
      </c>
      <c r="AH14" s="525">
        <f t="shared" si="10"/>
        <v>0</v>
      </c>
      <c r="AI14" s="525">
        <f t="shared" si="10"/>
        <v>0</v>
      </c>
      <c r="AJ14" s="525">
        <f t="shared" si="10"/>
        <v>0</v>
      </c>
      <c r="AK14" s="525">
        <f t="shared" si="10"/>
        <v>0</v>
      </c>
      <c r="AL14" s="525">
        <f t="shared" si="10"/>
        <v>0</v>
      </c>
      <c r="AM14" s="525">
        <f t="shared" si="10"/>
        <v>0</v>
      </c>
      <c r="AN14" s="525">
        <f t="shared" si="10"/>
        <v>0</v>
      </c>
      <c r="AO14" s="525">
        <f t="shared" si="10"/>
        <v>0</v>
      </c>
      <c r="AP14" s="525">
        <f t="shared" si="10"/>
        <v>0</v>
      </c>
      <c r="AQ14" s="525">
        <f t="shared" si="10"/>
        <v>0</v>
      </c>
      <c r="AR14" s="525">
        <f t="shared" si="10"/>
        <v>0</v>
      </c>
      <c r="AS14" s="525">
        <f t="shared" si="10"/>
        <v>0</v>
      </c>
      <c r="AT14" s="525">
        <f t="shared" si="10"/>
        <v>0</v>
      </c>
      <c r="AU14" s="525">
        <f t="shared" si="10"/>
        <v>0</v>
      </c>
      <c r="AV14" s="525">
        <f t="shared" si="10"/>
        <v>0</v>
      </c>
      <c r="AW14" s="525">
        <f t="shared" si="10"/>
        <v>0</v>
      </c>
      <c r="AX14" s="525">
        <f t="shared" si="10"/>
        <v>0</v>
      </c>
      <c r="AY14" s="525">
        <f t="shared" si="10"/>
        <v>0</v>
      </c>
      <c r="AZ14" s="525">
        <f t="shared" si="10"/>
        <v>0</v>
      </c>
    </row>
    <row r="15" spans="2:52" x14ac:dyDescent="0.25">
      <c r="B15" s="319" t="s">
        <v>1130</v>
      </c>
      <c r="C15" s="307"/>
      <c r="D15" s="307"/>
      <c r="E15" s="317"/>
      <c r="F15" s="318"/>
      <c r="G15" s="308"/>
      <c r="H15" s="309"/>
      <c r="I15" s="310"/>
      <c r="J15" s="311">
        <f t="shared" si="0"/>
        <v>0</v>
      </c>
      <c r="K15" s="311">
        <f>AVERAGE(M15:AZ15)</f>
        <v>0</v>
      </c>
      <c r="L15" s="312">
        <f>SUM(M15:AZ15)</f>
        <v>0</v>
      </c>
      <c r="M15" s="313">
        <f>IF(OR('Green+Social Interface'!$D$34="No",'Green+Social Interface'!$D$35="No"),SUM(M7:M13),0)</f>
        <v>0</v>
      </c>
      <c r="N15" s="313">
        <f>IF(OR('Green+Social Interface'!$D$34="No",'Green+Social Interface'!$D$35="No"),SUM(N7:N13),0)</f>
        <v>0</v>
      </c>
      <c r="O15" s="313">
        <f>IF(OR('Green+Social Interface'!$D$34="No",'Green+Social Interface'!$D$35="No"),SUM(O7:O13),0)</f>
        <v>0</v>
      </c>
      <c r="P15" s="313">
        <f>IF(OR('Green+Social Interface'!$D$34="No",'Green+Social Interface'!$D$35="No"),SUM(P7:P13),0)</f>
        <v>0</v>
      </c>
      <c r="Q15" s="313">
        <f>IF(OR('Green+Social Interface'!$D$34="No",'Green+Social Interface'!$D$35="No"),SUM(Q7:Q13),0)</f>
        <v>0</v>
      </c>
      <c r="R15" s="313">
        <f>IF(OR('Green+Social Interface'!$D$34="No",'Green+Social Interface'!$D$35="No"),SUM(R7:R13),0)</f>
        <v>0</v>
      </c>
      <c r="S15" s="313">
        <f>IF(OR('Green+Social Interface'!$D$34="No",'Green+Social Interface'!$D$35="No"),SUM(S7:S13),0)</f>
        <v>0</v>
      </c>
      <c r="T15" s="313">
        <f>IF(OR('Green+Social Interface'!$D$34="No",'Green+Social Interface'!$D$35="No"),SUM(T7:T13),0)</f>
        <v>0</v>
      </c>
      <c r="U15" s="313">
        <f>IF(OR('Green+Social Interface'!$D$34="No",'Green+Social Interface'!$D$35="No"),SUM(U7:U13),0)</f>
        <v>0</v>
      </c>
      <c r="V15" s="313">
        <f>IF(OR('Green+Social Interface'!$D$34="No",'Green+Social Interface'!$D$35="No"),SUM(V7:V13),0)</f>
        <v>0</v>
      </c>
      <c r="W15" s="313">
        <f>IF(OR('Green+Social Interface'!$D$34="No",'Green+Social Interface'!$D$35="No"),SUM(W7:W13),0)</f>
        <v>0</v>
      </c>
      <c r="X15" s="313">
        <f>IF(OR('Green+Social Interface'!$D$34="No",'Green+Social Interface'!$D$35="No"),SUM(X7:X13),0)</f>
        <v>0</v>
      </c>
      <c r="Y15" s="313">
        <f>IF(OR('Green+Social Interface'!$D$34="No",'Green+Social Interface'!$D$35="No"),SUM(Y7:Y13),0)</f>
        <v>0</v>
      </c>
      <c r="Z15" s="313">
        <f>IF(OR('Green+Social Interface'!$D$34="No",'Green+Social Interface'!$D$35="No"),SUM(Z7:Z13),0)</f>
        <v>0</v>
      </c>
      <c r="AA15" s="313">
        <f>IF(OR('Green+Social Interface'!$D$34="No",'Green+Social Interface'!$D$35="No"),SUM(AA7:AA13),0)</f>
        <v>0</v>
      </c>
      <c r="AB15" s="313">
        <f>IF(OR('Green+Social Interface'!$D$34="No",'Green+Social Interface'!$D$35="No"),SUM(AB7:AB13),0)</f>
        <v>0</v>
      </c>
      <c r="AC15" s="313">
        <f>IF(OR('Green+Social Interface'!$D$34="No",'Green+Social Interface'!$D$35="No"),SUM(AC7:AC13),0)</f>
        <v>0</v>
      </c>
      <c r="AD15" s="313">
        <f>IF(OR('Green+Social Interface'!$D$34="No",'Green+Social Interface'!$D$35="No"),SUM(AD7:AD13),0)</f>
        <v>0</v>
      </c>
      <c r="AE15" s="313">
        <f>IF(OR('Green+Social Interface'!$D$34="No",'Green+Social Interface'!$D$35="No"),SUM(AE7:AE13),0)</f>
        <v>0</v>
      </c>
      <c r="AF15" s="313">
        <f>IF(OR('Green+Social Interface'!$D$34="No",'Green+Social Interface'!$D$35="No"),SUM(AF7:AF13),0)</f>
        <v>0</v>
      </c>
      <c r="AG15" s="313">
        <f>IF(OR('Green+Social Interface'!$D$34="No",'Green+Social Interface'!$D$35="No"),SUM(AG7:AG13),0)</f>
        <v>0</v>
      </c>
      <c r="AH15" s="313">
        <f>IF(OR('Green+Social Interface'!$D$34="No",'Green+Social Interface'!$D$35="No"),SUM(AH7:AH13),0)</f>
        <v>0</v>
      </c>
      <c r="AI15" s="313">
        <f>IF(OR('Green+Social Interface'!$D$34="No",'Green+Social Interface'!$D$35="No"),SUM(AI7:AI13),0)</f>
        <v>0</v>
      </c>
      <c r="AJ15" s="313">
        <f>IF(OR('Green+Social Interface'!$D$34="No",'Green+Social Interface'!$D$35="No"),SUM(AJ7:AJ13),0)</f>
        <v>0</v>
      </c>
      <c r="AK15" s="313">
        <f>IF(OR('Green+Social Interface'!$D$34="No",'Green+Social Interface'!$D$35="No"),SUM(AK7:AK13),0)</f>
        <v>0</v>
      </c>
      <c r="AL15" s="313">
        <f>IF(OR('Green+Social Interface'!$D$34="No",'Green+Social Interface'!$D$35="No"),SUM(AL7:AL13),0)</f>
        <v>0</v>
      </c>
      <c r="AM15" s="313">
        <f>IF(OR('Green+Social Interface'!$D$34="No",'Green+Social Interface'!$D$35="No"),SUM(AM7:AM13),0)</f>
        <v>0</v>
      </c>
      <c r="AN15" s="313">
        <f>IF(OR('Green+Social Interface'!$D$34="No",'Green+Social Interface'!$D$35="No"),SUM(AN7:AN13),0)</f>
        <v>0</v>
      </c>
      <c r="AO15" s="313">
        <f>IF(OR('Green+Social Interface'!$D$34="No",'Green+Social Interface'!$D$35="No"),SUM(AO7:AO13),0)</f>
        <v>0</v>
      </c>
      <c r="AP15" s="313">
        <f>IF(OR('Green+Social Interface'!$D$34="No",'Green+Social Interface'!$D$35="No"),SUM(AP7:AP13),0)</f>
        <v>0</v>
      </c>
      <c r="AQ15" s="313">
        <f>IF(OR('Green+Social Interface'!$D$34="No",'Green+Social Interface'!$D$35="No"),SUM(AQ7:AQ13),0)</f>
        <v>0</v>
      </c>
      <c r="AR15" s="313">
        <f>IF(OR('Green+Social Interface'!$D$34="No",'Green+Social Interface'!$D$35="No"),SUM(AR7:AR13),0)</f>
        <v>0</v>
      </c>
      <c r="AS15" s="313">
        <f>IF(OR('Green+Social Interface'!$D$34="No",'Green+Social Interface'!$D$35="No"),SUM(AS7:AS13),0)</f>
        <v>0</v>
      </c>
      <c r="AT15" s="313">
        <f>IF(OR('Green+Social Interface'!$D$34="No",'Green+Social Interface'!$D$35="No"),SUM(AT7:AT13),0)</f>
        <v>0</v>
      </c>
      <c r="AU15" s="313">
        <f>IF(OR('Green+Social Interface'!$D$34="No",'Green+Social Interface'!$D$35="No"),SUM(AU7:AU13),0)</f>
        <v>0</v>
      </c>
      <c r="AV15" s="313">
        <f>IF(OR('Green+Social Interface'!$D$34="No",'Green+Social Interface'!$D$35="No"),SUM(AV7:AV13),0)</f>
        <v>0</v>
      </c>
      <c r="AW15" s="313">
        <f>IF(OR('Green+Social Interface'!$D$34="No",'Green+Social Interface'!$D$35="No"),SUM(AW7:AW13),0)</f>
        <v>0</v>
      </c>
      <c r="AX15" s="313">
        <f>IF(OR('Green+Social Interface'!$D$34="No",'Green+Social Interface'!$D$35="No"),SUM(AX7:AX13),0)</f>
        <v>0</v>
      </c>
      <c r="AY15" s="313">
        <f>IF(OR('Green+Social Interface'!$D$34="No",'Green+Social Interface'!$D$35="No"),SUM(AY7:AY13),0)</f>
        <v>0</v>
      </c>
      <c r="AZ15" s="313">
        <f>IF(OR('Green+Social Interface'!$D$34="No",'Green+Social Interface'!$D$35="No"),SUM(AZ7:AZ13),0)</f>
        <v>0</v>
      </c>
    </row>
    <row r="16" spans="2:52" x14ac:dyDescent="0.25">
      <c r="B16" s="314" t="s">
        <v>235</v>
      </c>
      <c r="C16" s="190"/>
      <c r="D16" s="190"/>
      <c r="E16" s="191"/>
      <c r="F16" s="192"/>
      <c r="G16" s="193"/>
      <c r="H16" s="194"/>
      <c r="I16" s="195"/>
      <c r="J16" s="196"/>
      <c r="K16" s="196"/>
      <c r="L16" s="197"/>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8"/>
      <c r="AZ16" s="198"/>
    </row>
    <row r="17" spans="2:52" x14ac:dyDescent="0.25">
      <c r="B17" s="189" t="s">
        <v>240</v>
      </c>
      <c r="C17" s="190" t="s">
        <v>236</v>
      </c>
      <c r="D17" s="190" t="s">
        <v>66</v>
      </c>
      <c r="E17" s="243">
        <v>0.24</v>
      </c>
      <c r="F17" s="192"/>
      <c r="G17" s="362" t="s">
        <v>268</v>
      </c>
      <c r="H17" s="194"/>
      <c r="I17" s="195"/>
      <c r="J17" s="199">
        <f t="shared" ref="J17:J20" si="11">IF(AND(K17&gt;0,$D$72&gt;0),K17/$D$72,0)</f>
        <v>0</v>
      </c>
      <c r="K17" s="199">
        <f>AVERAGE(M17:AZ17)</f>
        <v>0</v>
      </c>
      <c r="L17" s="200">
        <f>SUM(M17:AZ17)</f>
        <v>0</v>
      </c>
      <c r="M17" s="340">
        <f>($E$17*($D$76-'Green+Social Interface'!$F$62)*44/12)/1000</f>
        <v>0</v>
      </c>
      <c r="N17" s="340">
        <f>($E$17*($D$76-'Green+Social Interface'!$F$62)*44/12)/1000</f>
        <v>0</v>
      </c>
      <c r="O17" s="340">
        <f>($E$17*($D$76-'Green+Social Interface'!$F$62)*44/12)/1000</f>
        <v>0</v>
      </c>
      <c r="P17" s="340">
        <f>($E$17*($D$76-'Green+Social Interface'!$F$62)*44/12)/1000</f>
        <v>0</v>
      </c>
      <c r="Q17" s="340">
        <f>($E$17*($D$76-'Green+Social Interface'!$F$62)*44/12)/1000</f>
        <v>0</v>
      </c>
      <c r="R17" s="340"/>
      <c r="S17" s="340"/>
      <c r="T17" s="340"/>
      <c r="U17" s="340"/>
      <c r="V17" s="340"/>
      <c r="W17" s="340"/>
      <c r="X17" s="340"/>
      <c r="Y17" s="340"/>
      <c r="Z17" s="340"/>
      <c r="AA17" s="340"/>
      <c r="AB17" s="340"/>
      <c r="AC17" s="340"/>
      <c r="AD17" s="340"/>
      <c r="AE17" s="340"/>
      <c r="AF17" s="340"/>
      <c r="AG17" s="340"/>
      <c r="AH17" s="340"/>
      <c r="AI17" s="340"/>
      <c r="AJ17" s="340"/>
      <c r="AK17" s="340"/>
      <c r="AL17" s="340"/>
      <c r="AM17" s="340"/>
      <c r="AN17" s="340"/>
      <c r="AO17" s="340"/>
      <c r="AP17" s="340"/>
      <c r="AQ17" s="340"/>
      <c r="AR17" s="340"/>
      <c r="AS17" s="340"/>
      <c r="AT17" s="340"/>
      <c r="AU17" s="340"/>
      <c r="AV17" s="340"/>
      <c r="AW17" s="340"/>
      <c r="AX17" s="340"/>
      <c r="AY17" s="340"/>
      <c r="AZ17" s="340"/>
    </row>
    <row r="18" spans="2:52" x14ac:dyDescent="0.25">
      <c r="B18" s="189"/>
      <c r="C18" s="190" t="s">
        <v>237</v>
      </c>
      <c r="D18" s="190" t="s">
        <v>66</v>
      </c>
      <c r="E18" s="243">
        <v>0.61</v>
      </c>
      <c r="F18" s="192"/>
      <c r="G18" s="362" t="s">
        <v>268</v>
      </c>
      <c r="H18" s="194"/>
      <c r="I18" s="201"/>
      <c r="J18" s="199">
        <f t="shared" si="11"/>
        <v>0</v>
      </c>
      <c r="K18" s="199">
        <f>AVERAGE(M18:AZ18)</f>
        <v>0</v>
      </c>
      <c r="L18" s="200">
        <f t="shared" ref="L18:L20" si="12">SUM(M18:AZ18)</f>
        <v>0</v>
      </c>
      <c r="M18" s="340"/>
      <c r="N18" s="340"/>
      <c r="O18" s="340"/>
      <c r="P18" s="340"/>
      <c r="Q18" s="340"/>
      <c r="R18" s="340">
        <f>($E$18*($D$76-'Green+Social Interface'!$F$62)*44/12)/1000</f>
        <v>0</v>
      </c>
      <c r="S18" s="340">
        <f>($E$18*($D$76-'Green+Social Interface'!$F$62)*44/12)/1000</f>
        <v>0</v>
      </c>
      <c r="T18" s="340">
        <f>($E$18*($D$76-'Green+Social Interface'!$F$62)*44/12)/1000</f>
        <v>0</v>
      </c>
      <c r="U18" s="340">
        <f>($E$18*($D$76-'Green+Social Interface'!$F$62)*44/12)/1000</f>
        <v>0</v>
      </c>
      <c r="V18" s="340">
        <f>($E$18*($D$76-'Green+Social Interface'!$F$62)*44/12)/1000</f>
        <v>0</v>
      </c>
      <c r="W18" s="340"/>
      <c r="X18" s="340"/>
      <c r="Y18" s="340"/>
      <c r="Z18" s="340"/>
      <c r="AA18" s="340"/>
      <c r="AB18" s="340"/>
      <c r="AC18" s="340"/>
      <c r="AD18" s="340"/>
      <c r="AE18" s="340"/>
      <c r="AF18" s="340"/>
      <c r="AG18" s="340"/>
      <c r="AH18" s="340"/>
      <c r="AI18" s="340"/>
      <c r="AJ18" s="340"/>
      <c r="AK18" s="340"/>
      <c r="AL18" s="340"/>
      <c r="AM18" s="340"/>
      <c r="AN18" s="340"/>
      <c r="AO18" s="340"/>
      <c r="AP18" s="340"/>
      <c r="AQ18" s="340"/>
      <c r="AR18" s="340"/>
      <c r="AS18" s="340"/>
      <c r="AT18" s="340"/>
      <c r="AU18" s="340"/>
      <c r="AV18" s="340"/>
      <c r="AW18" s="340"/>
      <c r="AX18" s="340"/>
      <c r="AY18" s="340"/>
      <c r="AZ18" s="340"/>
    </row>
    <row r="19" spans="2:52" x14ac:dyDescent="0.25">
      <c r="B19" s="189"/>
      <c r="C19" s="202" t="s">
        <v>238</v>
      </c>
      <c r="D19" s="190" t="s">
        <v>66</v>
      </c>
      <c r="E19" s="243">
        <v>0.47</v>
      </c>
      <c r="F19" s="192"/>
      <c r="G19" s="362" t="s">
        <v>268</v>
      </c>
      <c r="H19" s="194"/>
      <c r="I19" s="203"/>
      <c r="J19" s="199">
        <f t="shared" si="11"/>
        <v>0</v>
      </c>
      <c r="K19" s="199">
        <f>AVERAGE(M19:AZ19)</f>
        <v>0</v>
      </c>
      <c r="L19" s="200">
        <f t="shared" si="12"/>
        <v>0</v>
      </c>
      <c r="M19" s="243"/>
      <c r="N19" s="243"/>
      <c r="O19" s="243"/>
      <c r="P19" s="243"/>
      <c r="Q19" s="243"/>
      <c r="R19" s="243"/>
      <c r="S19" s="243"/>
      <c r="T19" s="243"/>
      <c r="U19" s="243"/>
      <c r="V19" s="243"/>
      <c r="W19" s="340">
        <f>($E$19*($D$76-'Green+Social Interface'!$F$62)*44/12)/1000</f>
        <v>0</v>
      </c>
      <c r="X19" s="340">
        <f>($E$19*($D$76-'Green+Social Interface'!$F$62)*44/12)/1000</f>
        <v>0</v>
      </c>
      <c r="Y19" s="340">
        <f>($E$19*($D$76-'Green+Social Interface'!$F$62)*44/12)/1000</f>
        <v>0</v>
      </c>
      <c r="Z19" s="340">
        <f>($E$19*($D$76-'Green+Social Interface'!$F$62)*44/12)/1000</f>
        <v>0</v>
      </c>
      <c r="AA19" s="340">
        <f>($E$19*($D$76-'Green+Social Interface'!$F$62)*44/12)/1000</f>
        <v>0</v>
      </c>
      <c r="AB19" s="340">
        <f>($E$19*($D$76-'Green+Social Interface'!$F$62)*44/12)/1000</f>
        <v>0</v>
      </c>
      <c r="AC19" s="340">
        <f>($E$19*($D$76-'Green+Social Interface'!$F$62)*44/12)/1000</f>
        <v>0</v>
      </c>
      <c r="AD19" s="340">
        <f>($E$19*($D$76-'Green+Social Interface'!$F$62)*44/12)/1000</f>
        <v>0</v>
      </c>
      <c r="AE19" s="340">
        <f>($E$19*($D$76-'Green+Social Interface'!$F$62)*44/12)/1000</f>
        <v>0</v>
      </c>
      <c r="AF19" s="340">
        <f>($E$19*($D$76-'Green+Social Interface'!$F$62)*44/12)/1000</f>
        <v>0</v>
      </c>
      <c r="AG19" s="243"/>
      <c r="AH19" s="243"/>
      <c r="AI19" s="243"/>
      <c r="AJ19" s="243"/>
      <c r="AK19" s="243"/>
      <c r="AL19" s="243"/>
      <c r="AM19" s="243"/>
      <c r="AN19" s="243"/>
      <c r="AO19" s="243"/>
      <c r="AP19" s="243"/>
      <c r="AQ19" s="243"/>
      <c r="AR19" s="243"/>
      <c r="AS19" s="243"/>
      <c r="AT19" s="243"/>
      <c r="AU19" s="243"/>
      <c r="AV19" s="243"/>
      <c r="AW19" s="243"/>
      <c r="AX19" s="243"/>
      <c r="AY19" s="243"/>
      <c r="AZ19" s="243"/>
    </row>
    <row r="20" spans="2:52" x14ac:dyDescent="0.25">
      <c r="B20" s="189"/>
      <c r="C20" s="202" t="s">
        <v>239</v>
      </c>
      <c r="D20" s="190" t="s">
        <v>66</v>
      </c>
      <c r="E20" s="243">
        <v>0.3</v>
      </c>
      <c r="F20" s="192"/>
      <c r="G20" s="362" t="s">
        <v>268</v>
      </c>
      <c r="H20" s="194"/>
      <c r="I20" s="201"/>
      <c r="J20" s="199">
        <f t="shared" si="11"/>
        <v>0</v>
      </c>
      <c r="K20" s="199">
        <f t="shared" ref="K20:K47" si="13">AVERAGE(M20:AZ20)</f>
        <v>0</v>
      </c>
      <c r="L20" s="200">
        <f t="shared" si="12"/>
        <v>0</v>
      </c>
      <c r="M20" s="243"/>
      <c r="N20" s="243"/>
      <c r="O20" s="243"/>
      <c r="P20" s="243"/>
      <c r="Q20" s="243"/>
      <c r="R20" s="243"/>
      <c r="S20" s="243"/>
      <c r="T20" s="243"/>
      <c r="U20" s="243"/>
      <c r="V20" s="243"/>
      <c r="W20" s="243"/>
      <c r="X20" s="243"/>
      <c r="Y20" s="243"/>
      <c r="Z20" s="243"/>
      <c r="AA20" s="243"/>
      <c r="AB20" s="243"/>
      <c r="AC20" s="243"/>
      <c r="AD20" s="243"/>
      <c r="AE20" s="243"/>
      <c r="AF20" s="243"/>
      <c r="AG20" s="340">
        <f>($E$20*($D$76-'Green+Social Interface'!$F$62)*44/12)/1000</f>
        <v>0</v>
      </c>
      <c r="AH20" s="340">
        <f>($E$20*($D$76-'Green+Social Interface'!$F$62)*44/12)/1000</f>
        <v>0</v>
      </c>
      <c r="AI20" s="340">
        <f>($E$20*($D$76-'Green+Social Interface'!$F$62)*44/12)/1000</f>
        <v>0</v>
      </c>
      <c r="AJ20" s="340">
        <f>($E$20*($D$76-'Green+Social Interface'!$F$62)*44/12)/1000</f>
        <v>0</v>
      </c>
      <c r="AK20" s="340">
        <f>($E$20*($D$76-'Green+Social Interface'!$F$62)*44/12)/1000</f>
        <v>0</v>
      </c>
      <c r="AL20" s="340">
        <f>($E$20*($D$76-'Green+Social Interface'!$F$62)*44/12)/1000</f>
        <v>0</v>
      </c>
      <c r="AM20" s="340">
        <f>($E$20*($D$76-'Green+Social Interface'!$F$62)*44/12)/1000</f>
        <v>0</v>
      </c>
      <c r="AN20" s="340">
        <f>($E$20*($D$76-'Green+Social Interface'!$F$62)*44/12)/1000</f>
        <v>0</v>
      </c>
      <c r="AO20" s="340">
        <f>($E$20*($D$76-'Green+Social Interface'!$F$62)*44/12)/1000</f>
        <v>0</v>
      </c>
      <c r="AP20" s="340">
        <f>($E$20*($D$76-'Green+Social Interface'!$F$62)*44/12)/1000</f>
        <v>0</v>
      </c>
      <c r="AQ20" s="340">
        <f>($E$20*($D$76-'Green+Social Interface'!$F$62)*44/12)/1000</f>
        <v>0</v>
      </c>
      <c r="AR20" s="340">
        <f>($E$20*($D$76-'Green+Social Interface'!$F$62)*44/12)/1000</f>
        <v>0</v>
      </c>
      <c r="AS20" s="340">
        <f>($E$20*($D$76-'Green+Social Interface'!$F$62)*44/12)/1000</f>
        <v>0</v>
      </c>
      <c r="AT20" s="340">
        <f>($E$20*($D$76-'Green+Social Interface'!$F$62)*44/12)/1000</f>
        <v>0</v>
      </c>
      <c r="AU20" s="340">
        <f>($E$20*($D$76-'Green+Social Interface'!$F$62)*44/12)/1000</f>
        <v>0</v>
      </c>
      <c r="AV20" s="340">
        <f>($E$20*($D$76-'Green+Social Interface'!$F$62)*44/12)/1000</f>
        <v>0</v>
      </c>
      <c r="AW20" s="340">
        <f>($E$20*($D$76-'Green+Social Interface'!$F$62)*44/12)/1000</f>
        <v>0</v>
      </c>
      <c r="AX20" s="340">
        <f>($E$20*($D$76-'Green+Social Interface'!$F$62)*44/12)/1000</f>
        <v>0</v>
      </c>
      <c r="AY20" s="340">
        <f>($E$20*($D$76-'Green+Social Interface'!$F$62)*44/12)/1000</f>
        <v>0</v>
      </c>
      <c r="AZ20" s="340">
        <f>($E$20*($D$76-'Green+Social Interface'!$F$62)*44/12)/1000</f>
        <v>0</v>
      </c>
    </row>
    <row r="21" spans="2:52" x14ac:dyDescent="0.25">
      <c r="B21" s="189" t="s">
        <v>241</v>
      </c>
      <c r="C21" s="190" t="s">
        <v>1075</v>
      </c>
      <c r="D21" s="190" t="s">
        <v>66</v>
      </c>
      <c r="E21" s="204"/>
      <c r="F21" s="192"/>
      <c r="G21" s="362" t="s">
        <v>268</v>
      </c>
      <c r="H21" s="194"/>
      <c r="I21" s="201"/>
      <c r="J21" s="368">
        <f>IF(AND(K21&lt;&gt;0,$D$72&gt;0),K21/$D$72,0)</f>
        <v>0</v>
      </c>
      <c r="K21" s="368">
        <f>AVERAGE(M21:AZ21)</f>
        <v>0</v>
      </c>
      <c r="L21" s="369">
        <f t="shared" ref="L21:L47" si="14">SUM(M21:AZ21)</f>
        <v>0</v>
      </c>
      <c r="M21" s="341">
        <f>SUM(M17:M20)</f>
        <v>0</v>
      </c>
      <c r="N21" s="341">
        <f t="shared" ref="N21:AZ21" si="15">SUM(N17:N20)</f>
        <v>0</v>
      </c>
      <c r="O21" s="341">
        <f t="shared" si="15"/>
        <v>0</v>
      </c>
      <c r="P21" s="341">
        <f t="shared" si="15"/>
        <v>0</v>
      </c>
      <c r="Q21" s="341">
        <f t="shared" si="15"/>
        <v>0</v>
      </c>
      <c r="R21" s="341">
        <f t="shared" si="15"/>
        <v>0</v>
      </c>
      <c r="S21" s="341">
        <f t="shared" si="15"/>
        <v>0</v>
      </c>
      <c r="T21" s="341">
        <f t="shared" si="15"/>
        <v>0</v>
      </c>
      <c r="U21" s="341">
        <f t="shared" si="15"/>
        <v>0</v>
      </c>
      <c r="V21" s="341">
        <f t="shared" si="15"/>
        <v>0</v>
      </c>
      <c r="W21" s="341">
        <f t="shared" si="15"/>
        <v>0</v>
      </c>
      <c r="X21" s="341">
        <f t="shared" si="15"/>
        <v>0</v>
      </c>
      <c r="Y21" s="341">
        <f t="shared" si="15"/>
        <v>0</v>
      </c>
      <c r="Z21" s="341">
        <f t="shared" si="15"/>
        <v>0</v>
      </c>
      <c r="AA21" s="341">
        <f t="shared" si="15"/>
        <v>0</v>
      </c>
      <c r="AB21" s="341">
        <f t="shared" si="15"/>
        <v>0</v>
      </c>
      <c r="AC21" s="341">
        <f t="shared" si="15"/>
        <v>0</v>
      </c>
      <c r="AD21" s="341">
        <f t="shared" si="15"/>
        <v>0</v>
      </c>
      <c r="AE21" s="341">
        <f t="shared" si="15"/>
        <v>0</v>
      </c>
      <c r="AF21" s="341">
        <f t="shared" si="15"/>
        <v>0</v>
      </c>
      <c r="AG21" s="341">
        <f t="shared" si="15"/>
        <v>0</v>
      </c>
      <c r="AH21" s="341">
        <f t="shared" si="15"/>
        <v>0</v>
      </c>
      <c r="AI21" s="341">
        <f t="shared" si="15"/>
        <v>0</v>
      </c>
      <c r="AJ21" s="341">
        <f t="shared" si="15"/>
        <v>0</v>
      </c>
      <c r="AK21" s="341">
        <f t="shared" si="15"/>
        <v>0</v>
      </c>
      <c r="AL21" s="341">
        <f t="shared" si="15"/>
        <v>0</v>
      </c>
      <c r="AM21" s="341">
        <f t="shared" si="15"/>
        <v>0</v>
      </c>
      <c r="AN21" s="341">
        <f t="shared" si="15"/>
        <v>0</v>
      </c>
      <c r="AO21" s="341">
        <f t="shared" si="15"/>
        <v>0</v>
      </c>
      <c r="AP21" s="341">
        <f t="shared" si="15"/>
        <v>0</v>
      </c>
      <c r="AQ21" s="341">
        <f t="shared" si="15"/>
        <v>0</v>
      </c>
      <c r="AR21" s="341">
        <f t="shared" si="15"/>
        <v>0</v>
      </c>
      <c r="AS21" s="341">
        <f t="shared" si="15"/>
        <v>0</v>
      </c>
      <c r="AT21" s="341">
        <f t="shared" si="15"/>
        <v>0</v>
      </c>
      <c r="AU21" s="341">
        <f t="shared" si="15"/>
        <v>0</v>
      </c>
      <c r="AV21" s="341">
        <f t="shared" si="15"/>
        <v>0</v>
      </c>
      <c r="AW21" s="341">
        <f t="shared" si="15"/>
        <v>0</v>
      </c>
      <c r="AX21" s="341">
        <f t="shared" si="15"/>
        <v>0</v>
      </c>
      <c r="AY21" s="341">
        <f t="shared" si="15"/>
        <v>0</v>
      </c>
      <c r="AZ21" s="341">
        <f t="shared" si="15"/>
        <v>0</v>
      </c>
    </row>
    <row r="22" spans="2:52" x14ac:dyDescent="0.25">
      <c r="B22" s="189" t="s">
        <v>242</v>
      </c>
      <c r="C22" s="372" t="s">
        <v>1073</v>
      </c>
      <c r="D22" s="190" t="s">
        <v>249</v>
      </c>
      <c r="E22" s="204"/>
      <c r="F22" s="192"/>
      <c r="G22" s="205"/>
      <c r="H22" s="194"/>
      <c r="I22" s="201"/>
      <c r="J22" s="465">
        <f>IF(AND(K22&lt;&gt;0,$D$72&gt;0),K22/$D$72,0)</f>
        <v>0</v>
      </c>
      <c r="K22" s="196">
        <f t="shared" si="13"/>
        <v>0</v>
      </c>
      <c r="L22" s="206">
        <f t="shared" si="14"/>
        <v>0</v>
      </c>
      <c r="M22" s="207">
        <f>IF(M21&lt;&gt;0,M21*(('Green+Social Interface'!$Z$65*'Green+Social Interface'!$Z$62)*(1+0.0255)),0)</f>
        <v>0</v>
      </c>
      <c r="N22" s="207">
        <f>IF(N21&lt;&gt;0,N21*(('Green+Social Interface'!$Z$65*'Green+Social Interface'!$Z$62)*((1+0.0255+$D$74)^(N$3-1))),0)</f>
        <v>0</v>
      </c>
      <c r="O22" s="207">
        <f>IF(O21&lt;&gt;0,O21*(('Green+Social Interface'!$Z$65*'Green+Social Interface'!$Z$62)*((1+0.0255+$D$74)^(O$3-1))),0)</f>
        <v>0</v>
      </c>
      <c r="P22" s="207">
        <f>IF(P21&lt;&gt;0,P21*(('Green+Social Interface'!$Z$65*'Green+Social Interface'!$Z$62)*((1+0.0255+$D$74)^(P$3-1))),0)</f>
        <v>0</v>
      </c>
      <c r="Q22" s="207">
        <f>IF(Q21&lt;&gt;0,Q21*(('Green+Social Interface'!$Z$65*'Green+Social Interface'!$Z$62)*((1+0.0255+$D$74)^(Q$3-1))),0)</f>
        <v>0</v>
      </c>
      <c r="R22" s="207">
        <f>IF(R21&lt;&gt;0,R21*(('Green+Social Interface'!$Z$65*'Green+Social Interface'!$Z$62)*((1+0.0255+$D$74)^(R$3-1))),0)</f>
        <v>0</v>
      </c>
      <c r="S22" s="207">
        <f>IF(S21&lt;&gt;0,S21*(('Green+Social Interface'!$Z$65*'Green+Social Interface'!$Z$62)*((1+0.0255+$D$74)^(S$3-1))),0)</f>
        <v>0</v>
      </c>
      <c r="T22" s="207">
        <f>IF(T21&lt;&gt;0,T21*(('Green+Social Interface'!$Z$65*'Green+Social Interface'!$Z$62)*((1+0.0255+$D$74)^(T$3-1))),0)</f>
        <v>0</v>
      </c>
      <c r="U22" s="207">
        <f>IF(U21&lt;&gt;0,U21*(('Green+Social Interface'!$Z$65*'Green+Social Interface'!$Z$62)*((1+0.0255+$D$74)^(U$3-1))),0)</f>
        <v>0</v>
      </c>
      <c r="V22" s="207">
        <f>IF(V21&lt;&gt;0,V21*(('Green+Social Interface'!$Z$65*'Green+Social Interface'!$Z$62)*((1+0.0255+$D$74)^(V$3-1))),0)</f>
        <v>0</v>
      </c>
      <c r="W22" s="207">
        <f>IF(W21&lt;&gt;0,W21*(('Green+Social Interface'!$Z$65*'Green+Social Interface'!$Z$62)*((1+0.0255+$D$74)^(W$3-1))),0)</f>
        <v>0</v>
      </c>
      <c r="X22" s="207">
        <f>IF(X21&lt;&gt;0,X21*(('Green+Social Interface'!$Z$65*'Green+Social Interface'!$Z$62)*((1+0.0255+$D$74)^(X$3-1))),0)</f>
        <v>0</v>
      </c>
      <c r="Y22" s="207">
        <f>IF(Y21&lt;&gt;0,Y21*(('Green+Social Interface'!$Z$65*'Green+Social Interface'!$Z$62)*((1+0.0255+$D$74)^(Y$3-1))),0)</f>
        <v>0</v>
      </c>
      <c r="Z22" s="207">
        <f>IF(Z21&lt;&gt;0,Z21*(('Green+Social Interface'!$Z$65*'Green+Social Interface'!$Z$62)*((1+0.0255+$D$74)^(Z$3-1))),0)</f>
        <v>0</v>
      </c>
      <c r="AA22" s="207">
        <f>IF(AA21&lt;&gt;0,AA21*(('Green+Social Interface'!$Z$65*'Green+Social Interface'!$Z$62)*((1+0.0255+$D$74)^(AA$3-1))),0)</f>
        <v>0</v>
      </c>
      <c r="AB22" s="207">
        <f>IF(AB21&lt;&gt;0,AB21*(('Green+Social Interface'!$Z$65*'Green+Social Interface'!$Z$62)*((1+0.0255+$D$74)^(AB$3-1))),0)</f>
        <v>0</v>
      </c>
      <c r="AC22" s="207">
        <f>IF(AC21&lt;&gt;0,AC21*(('Green+Social Interface'!$Z$65*'Green+Social Interface'!$Z$62)*((1+0.0255+$D$74)^(AC$3-1))),0)</f>
        <v>0</v>
      </c>
      <c r="AD22" s="207">
        <f>IF(AD21&lt;&gt;0,AD21*(('Green+Social Interface'!$Z$65*'Green+Social Interface'!$Z$62)*((1+0.0255+$D$74)^(AD$3-1))),0)</f>
        <v>0</v>
      </c>
      <c r="AE22" s="207">
        <f>IF(AE21&lt;&gt;0,AE21*(('Green+Social Interface'!$Z$65*'Green+Social Interface'!$Z$62)*((1+0.0255+$D$74)^(AE$3-1))),0)</f>
        <v>0</v>
      </c>
      <c r="AF22" s="207">
        <f>IF(AF21&lt;&gt;0,AF21*(('Green+Social Interface'!$Z$65*'Green+Social Interface'!$Z$62)*((1+0.0255+$D$74)^(AF$3-1))),0)</f>
        <v>0</v>
      </c>
      <c r="AG22" s="207">
        <f>IF(AG21&lt;&gt;0,AG21*(('Green+Social Interface'!$Z$65*'Green+Social Interface'!$Z$62)*((1+0.0255+$D$74)^(AG$3-1))),0)</f>
        <v>0</v>
      </c>
      <c r="AH22" s="207">
        <f>IF(AH21&lt;&gt;0,AH21*(('Green+Social Interface'!$Z$65*'Green+Social Interface'!$Z$62)*((1+0.0255+$D$74)^(AH$3-1))),0)</f>
        <v>0</v>
      </c>
      <c r="AI22" s="207">
        <f>IF(AI21&lt;&gt;0,AI21*(('Green+Social Interface'!$Z$65*'Green+Social Interface'!$Z$62)*((1+0.0255+$D$74)^(AI$3-1))),0)</f>
        <v>0</v>
      </c>
      <c r="AJ22" s="207">
        <f>IF(AJ21&lt;&gt;0,AJ21*(('Green+Social Interface'!$Z$65*'Green+Social Interface'!$Z$62)*((1+0.0255+$D$74)^(AJ$3-1))),0)</f>
        <v>0</v>
      </c>
      <c r="AK22" s="207">
        <f>IF(AK21&lt;&gt;0,AK21*(('Green+Social Interface'!$Z$65*'Green+Social Interface'!$Z$62)*((1+0.0255+$D$74)^(AK$3-1))),0)</f>
        <v>0</v>
      </c>
      <c r="AL22" s="207">
        <f>IF(AL21&lt;&gt;0,AL21*(('Green+Social Interface'!$Z$65*'Green+Social Interface'!$Z$62)*((1+0.0255+$D$74)^(AL$3-1))),0)</f>
        <v>0</v>
      </c>
      <c r="AM22" s="207">
        <f>IF(AM21&lt;&gt;0,AM21*(('Green+Social Interface'!$Z$65*'Green+Social Interface'!$Z$62)*((1+0.0255+$D$74)^(AM$3-1))),0)</f>
        <v>0</v>
      </c>
      <c r="AN22" s="207">
        <f>IF(AN21&lt;&gt;0,AN21*(('Green+Social Interface'!$Z$65*'Green+Social Interface'!$Z$62)*((1+0.0255+$D$74)^(AN$3-1))),0)</f>
        <v>0</v>
      </c>
      <c r="AO22" s="207">
        <f>IF(AO21&lt;&gt;0,AO21*(('Green+Social Interface'!$Z$65*'Green+Social Interface'!$Z$62)*((1+0.0255+$D$74)^(AO$3-1))),0)</f>
        <v>0</v>
      </c>
      <c r="AP22" s="207">
        <f>IF(AP21&lt;&gt;0,AP21*(('Green+Social Interface'!$Z$65*'Green+Social Interface'!$Z$62)*((1+0.0255+$D$74)^(AP$3-1))),0)</f>
        <v>0</v>
      </c>
      <c r="AQ22" s="207">
        <f>IF(AQ21&lt;&gt;0,AQ21*(('Green+Social Interface'!$Z$65*'Green+Social Interface'!$Z$62)*((1+0.0255+$D$74)^(AQ$3-1))),0)</f>
        <v>0</v>
      </c>
      <c r="AR22" s="207">
        <f>IF(AR21&lt;&gt;0,AR21*(('Green+Social Interface'!$Z$65*'Green+Social Interface'!$Z$62)*((1+0.0255+$D$74)^(AR$3-1))),0)</f>
        <v>0</v>
      </c>
      <c r="AS22" s="207">
        <f>IF(AS21&lt;&gt;0,AS21*(('Green+Social Interface'!$Z$65*'Green+Social Interface'!$Z$62)*((1+0.0255+$D$74)^(AS$3-1))),0)</f>
        <v>0</v>
      </c>
      <c r="AT22" s="207">
        <f>IF(AT21&lt;&gt;0,AT21*(('Green+Social Interface'!$Z$65*'Green+Social Interface'!$Z$62)*((1+0.0255+$D$74)^(AT$3-1))),0)</f>
        <v>0</v>
      </c>
      <c r="AU22" s="207">
        <f>IF(AU21&lt;&gt;0,AU21*(('Green+Social Interface'!$Z$65*'Green+Social Interface'!$Z$62)*((1+0.0255+$D$74)^(AU$3-1))),0)</f>
        <v>0</v>
      </c>
      <c r="AV22" s="207">
        <f>IF(AV21&lt;&gt;0,AV21*(('Green+Social Interface'!$Z$65*'Green+Social Interface'!$Z$62)*((1+0.0255+$D$74)^(AV$3-1))),0)</f>
        <v>0</v>
      </c>
      <c r="AW22" s="207">
        <f>IF(AW21&lt;&gt;0,AW21*(('Green+Social Interface'!$Z$65*'Green+Social Interface'!$Z$62)*((1+0.0255+$D$74)^(AW$3-1))),0)</f>
        <v>0</v>
      </c>
      <c r="AX22" s="207">
        <f>IF(AX21&lt;&gt;0,AX21*(('Green+Social Interface'!$Z$65*'Green+Social Interface'!$Z$62)*((1+0.0255+$D$74)^(AX$3-1))),0)</f>
        <v>0</v>
      </c>
      <c r="AY22" s="207">
        <f>IF(AY21&lt;&gt;0,AY21*(('Green+Social Interface'!$Z$65*'Green+Social Interface'!$Z$62)*((1+0.0255+$D$74)^(AY$3-1))),0)</f>
        <v>0</v>
      </c>
      <c r="AZ22" s="207">
        <f>IF(AZ21&lt;&gt;0,AZ21*(('Green+Social Interface'!$Z$65*'Green+Social Interface'!$Z$62)*((1+0.0255+$D$74)^(AZ$3-1))),0)</f>
        <v>0</v>
      </c>
    </row>
    <row r="23" spans="2:52" x14ac:dyDescent="0.25">
      <c r="B23" s="189" t="s">
        <v>242</v>
      </c>
      <c r="C23" s="372" t="s">
        <v>1074</v>
      </c>
      <c r="D23" s="190" t="s">
        <v>249</v>
      </c>
      <c r="E23" s="204"/>
      <c r="F23" s="192"/>
      <c r="G23" s="205"/>
      <c r="H23" s="194"/>
      <c r="I23" s="201"/>
      <c r="J23" s="199">
        <f>IF(AND(K23&lt;&gt;0,$D$72&gt;0),K23/$D$72,0)</f>
        <v>0</v>
      </c>
      <c r="K23" s="196">
        <f t="shared" ref="K23" si="16">AVERAGE(M23:AZ23)</f>
        <v>0</v>
      </c>
      <c r="L23" s="206">
        <f t="shared" ref="L23" si="17">SUM(M23:AZ23)</f>
        <v>0</v>
      </c>
      <c r="M23" s="207">
        <f>IF(M21&lt;&gt;0,M21*(('Green+Social Interface'!$Z$65*'Green+Social Interface'!$Z$62)*(1+0.0255)),0)</f>
        <v>0</v>
      </c>
      <c r="N23" s="207">
        <f>IF(N21&lt;&gt;0,N21*(('Green+Social Interface'!$Z$65*'Green+Social Interface'!$Z$62)*((1+0.0255)^(N$3-1))),0)</f>
        <v>0</v>
      </c>
      <c r="O23" s="207">
        <f>IF(O21&lt;&gt;0,O21*(('Green+Social Interface'!$Z$65*'Green+Social Interface'!$Z$62)*((1+0.0255)^(O$3-1))),0)</f>
        <v>0</v>
      </c>
      <c r="P23" s="207">
        <f>IF(P21&lt;&gt;0,P21*(('Green+Social Interface'!$Z$65*'Green+Social Interface'!$Z$62)*((1+0.0255)^(P$3-1))),0)</f>
        <v>0</v>
      </c>
      <c r="Q23" s="207">
        <f>IF(Q21&lt;&gt;0,Q21*(('Green+Social Interface'!$Z$65*'Green+Social Interface'!$Z$62)*((1+0.0255)^(Q$3-1))),0)</f>
        <v>0</v>
      </c>
      <c r="R23" s="207">
        <f>IF(R21&lt;&gt;0,R21*(('Green+Social Interface'!$Z$65*'Green+Social Interface'!$Z$62)*((1+0.0255)^(R$3-1))),0)</f>
        <v>0</v>
      </c>
      <c r="S23" s="207">
        <f>IF(S21&lt;&gt;0,S21*(('Green+Social Interface'!$Z$65*'Green+Social Interface'!$Z$62)*((1+0.0255)^(S$3-1))),0)</f>
        <v>0</v>
      </c>
      <c r="T23" s="207">
        <f>IF(T21&lt;&gt;0,T21*(('Green+Social Interface'!$Z$65*'Green+Social Interface'!$Z$62)*((1+0.0255)^(T$3-1))),0)</f>
        <v>0</v>
      </c>
      <c r="U23" s="207">
        <f>IF(U21&lt;&gt;0,U21*(('Green+Social Interface'!$Z$65*'Green+Social Interface'!$Z$62)*((1+0.0255)^(U$3-1))),0)</f>
        <v>0</v>
      </c>
      <c r="V23" s="207">
        <f>IF(V21&lt;&gt;0,V21*(('Green+Social Interface'!$Z$65*'Green+Social Interface'!$Z$62)*((1+0.0255)^(V$3-1))),0)</f>
        <v>0</v>
      </c>
      <c r="W23" s="207">
        <f>IF(W21&lt;&gt;0,W21*(('Green+Social Interface'!$Z$65*'Green+Social Interface'!$Z$62)*((1+0.0255)^(W$3-1))),0)</f>
        <v>0</v>
      </c>
      <c r="X23" s="207">
        <f>IF(X21&lt;&gt;0,X21*(('Green+Social Interface'!$Z$65*'Green+Social Interface'!$Z$62)*((1+0.0255)^(X$3-1))),0)</f>
        <v>0</v>
      </c>
      <c r="Y23" s="207">
        <f>IF(Y21&lt;&gt;0,Y21*(('Green+Social Interface'!$Z$65*'Green+Social Interface'!$Z$62)*((1+0.0255)^(Y$3-1))),0)</f>
        <v>0</v>
      </c>
      <c r="Z23" s="207">
        <f>IF(Z21&lt;&gt;0,Z21*(('Green+Social Interface'!$Z$65*'Green+Social Interface'!$Z$62)*((1+0.0255)^(Z$3-1))),0)</f>
        <v>0</v>
      </c>
      <c r="AA23" s="207">
        <f>IF(AA21&lt;&gt;0,AA21*(('Green+Social Interface'!$Z$65*'Green+Social Interface'!$Z$62)*((1+0.0255)^(AA$3-1))),0)</f>
        <v>0</v>
      </c>
      <c r="AB23" s="207">
        <f>IF(AB21&lt;&gt;0,AB21*(('Green+Social Interface'!$Z$65*'Green+Social Interface'!$Z$62)*((1+0.0255)^(AB$3-1))),0)</f>
        <v>0</v>
      </c>
      <c r="AC23" s="207">
        <f>IF(AC21&lt;&gt;0,AC21*(('Green+Social Interface'!$Z$65*'Green+Social Interface'!$Z$62)*((1+0.0255)^(AC$3-1))),0)</f>
        <v>0</v>
      </c>
      <c r="AD23" s="207">
        <f>IF(AD21&lt;&gt;0,AD21*(('Green+Social Interface'!$Z$65*'Green+Social Interface'!$Z$62)*((1+0.0255)^(AD$3-1))),0)</f>
        <v>0</v>
      </c>
      <c r="AE23" s="207">
        <f>IF(AE21&lt;&gt;0,AE21*(('Green+Social Interface'!$Z$65*'Green+Social Interface'!$Z$62)*((1+0.0255)^(AE$3-1))),0)</f>
        <v>0</v>
      </c>
      <c r="AF23" s="207">
        <f>IF(AF21&lt;&gt;0,AF21*(('Green+Social Interface'!$Z$65*'Green+Social Interface'!$Z$62)*((1+0.0255)^(AF$3-1))),0)</f>
        <v>0</v>
      </c>
      <c r="AG23" s="207">
        <f>IF(AG21&lt;&gt;0,AG21*(('Green+Social Interface'!$Z$65*'Green+Social Interface'!$Z$62)*((1+0.0255)^(AG$3-1))),0)</f>
        <v>0</v>
      </c>
      <c r="AH23" s="207">
        <f>IF(AH21&lt;&gt;0,AH21*(('Green+Social Interface'!$Z$65*'Green+Social Interface'!$Z$62)*((1+0.0255)^(AH$3-1))),0)</f>
        <v>0</v>
      </c>
      <c r="AI23" s="207">
        <f>IF(AI21&lt;&gt;0,AI21*(('Green+Social Interface'!$Z$65*'Green+Social Interface'!$Z$62)*((1+0.0255)^(AI$3-1))),0)</f>
        <v>0</v>
      </c>
      <c r="AJ23" s="207">
        <f>IF(AJ21&lt;&gt;0,AJ21*(('Green+Social Interface'!$Z$65*'Green+Social Interface'!$Z$62)*((1+0.0255)^(AJ$3-1))),0)</f>
        <v>0</v>
      </c>
      <c r="AK23" s="207">
        <f>IF(AK21&lt;&gt;0,AK21*(('Green+Social Interface'!$Z$65*'Green+Social Interface'!$Z$62)*((1+0.0255)^(AK$3-1))),0)</f>
        <v>0</v>
      </c>
      <c r="AL23" s="207">
        <f>IF(AL21&lt;&gt;0,AL21*(('Green+Social Interface'!$Z$65*'Green+Social Interface'!$Z$62)*((1+0.0255)^(AL$3-1))),0)</f>
        <v>0</v>
      </c>
      <c r="AM23" s="207">
        <f>IF(AM21&lt;&gt;0,AM21*(('Green+Social Interface'!$Z$65*'Green+Social Interface'!$Z$62)*((1+0.0255)^(AM$3-1))),0)</f>
        <v>0</v>
      </c>
      <c r="AN23" s="207">
        <f>IF(AN21&lt;&gt;0,AN21*(('Green+Social Interface'!$Z$65*'Green+Social Interface'!$Z$62)*((1+0.0255)^(AN$3-1))),0)</f>
        <v>0</v>
      </c>
      <c r="AO23" s="207">
        <f>IF(AO21&lt;&gt;0,AO21*(('Green+Social Interface'!$Z$65*'Green+Social Interface'!$Z$62)*((1+0.0255)^(AO$3-1))),0)</f>
        <v>0</v>
      </c>
      <c r="AP23" s="207">
        <f>IF(AP21&lt;&gt;0,AP21*(('Green+Social Interface'!$Z$65*'Green+Social Interface'!$Z$62)*((1+0.0255)^(AP$3-1))),0)</f>
        <v>0</v>
      </c>
      <c r="AQ23" s="207">
        <f>IF(AQ21&lt;&gt;0,AQ21*(('Green+Social Interface'!$Z$65*'Green+Social Interface'!$Z$62)*((1+0.0255)^(AQ$3-1))),0)</f>
        <v>0</v>
      </c>
      <c r="AR23" s="207">
        <f>IF(AR21&lt;&gt;0,AR21*(('Green+Social Interface'!$Z$65*'Green+Social Interface'!$Z$62)*((1+0.0255)^(AR$3-1))),0)</f>
        <v>0</v>
      </c>
      <c r="AS23" s="207">
        <f>IF(AS21&lt;&gt;0,AS21*(('Green+Social Interface'!$Z$65*'Green+Social Interface'!$Z$62)*((1+0.0255)^(AS$3-1))),0)</f>
        <v>0</v>
      </c>
      <c r="AT23" s="207">
        <f>IF(AT21&lt;&gt;0,AT21*(('Green+Social Interface'!$Z$65*'Green+Social Interface'!$Z$62)*((1+0.0255)^(AT$3-1))),0)</f>
        <v>0</v>
      </c>
      <c r="AU23" s="207">
        <f>IF(AU21&lt;&gt;0,AU21*(('Green+Social Interface'!$Z$65*'Green+Social Interface'!$Z$62)*((1+0.0255)^(AU$3-1))),0)</f>
        <v>0</v>
      </c>
      <c r="AV23" s="207">
        <f>IF(AV21&lt;&gt;0,AV21*(('Green+Social Interface'!$Z$65*'Green+Social Interface'!$Z$62)*((1+0.0255)^(AV$3-1))),0)</f>
        <v>0</v>
      </c>
      <c r="AW23" s="207">
        <f>IF(AW21&lt;&gt;0,AW21*(('Green+Social Interface'!$Z$65*'Green+Social Interface'!$Z$62)*((1+0.0255)^(AW$3-1))),0)</f>
        <v>0</v>
      </c>
      <c r="AX23" s="207">
        <f>IF(AX21&lt;&gt;0,AX21*(('Green+Social Interface'!$Z$65*'Green+Social Interface'!$Z$62)*((1+0.0255)^(AX$3-1))),0)</f>
        <v>0</v>
      </c>
      <c r="AY23" s="207">
        <f>IF(AY21&lt;&gt;0,AY21*(('Green+Social Interface'!$Z$65*'Green+Social Interface'!$Z$62)*((1+0.0255)^(AY$3-1))),0)</f>
        <v>0</v>
      </c>
      <c r="AZ23" s="207">
        <f>IF(AZ21&lt;&gt;0,AZ21*(('Green+Social Interface'!$Z$65*'Green+Social Interface'!$Z$62)*((1+0.0255)^(AZ$3-1))),0)</f>
        <v>0</v>
      </c>
    </row>
    <row r="24" spans="2:52" x14ac:dyDescent="0.25">
      <c r="B24" s="315" t="s">
        <v>246</v>
      </c>
      <c r="C24" s="209"/>
      <c r="D24" s="209"/>
      <c r="E24" s="244" t="s">
        <v>404</v>
      </c>
      <c r="F24" s="217"/>
      <c r="G24" s="211"/>
      <c r="H24" s="212"/>
      <c r="I24" s="213"/>
      <c r="J24" s="214"/>
      <c r="K24" s="214"/>
      <c r="L24" s="215"/>
      <c r="M24" s="216"/>
      <c r="N24" s="216"/>
      <c r="O24" s="216"/>
      <c r="P24" s="216"/>
      <c r="Q24" s="216"/>
      <c r="R24" s="216"/>
      <c r="S24" s="216"/>
      <c r="T24" s="216"/>
      <c r="U24" s="216"/>
      <c r="V24" s="216"/>
      <c r="W24" s="216"/>
      <c r="X24" s="216"/>
      <c r="Y24" s="216"/>
      <c r="Z24" s="216"/>
      <c r="AA24" s="216"/>
      <c r="AB24" s="216"/>
      <c r="AC24" s="216"/>
      <c r="AD24" s="216"/>
      <c r="AE24" s="216"/>
      <c r="AF24" s="216"/>
      <c r="AG24" s="216"/>
      <c r="AH24" s="216"/>
      <c r="AI24" s="216"/>
      <c r="AJ24" s="216"/>
      <c r="AK24" s="216"/>
      <c r="AL24" s="216"/>
      <c r="AM24" s="216"/>
      <c r="AN24" s="216"/>
      <c r="AO24" s="216"/>
      <c r="AP24" s="216"/>
      <c r="AQ24" s="216"/>
      <c r="AR24" s="216"/>
      <c r="AS24" s="216"/>
      <c r="AT24" s="216"/>
      <c r="AU24" s="216"/>
      <c r="AV24" s="216"/>
      <c r="AW24" s="216"/>
      <c r="AX24" s="216"/>
      <c r="AY24" s="216"/>
      <c r="AZ24" s="216"/>
    </row>
    <row r="25" spans="2:52" x14ac:dyDescent="0.25">
      <c r="B25" s="357" t="s">
        <v>1058</v>
      </c>
      <c r="C25" s="209" t="s">
        <v>253</v>
      </c>
      <c r="D25" s="209" t="s">
        <v>66</v>
      </c>
      <c r="E25" s="218">
        <v>3.0449999999999999</v>
      </c>
      <c r="F25" s="210">
        <f>E25*VLOOKUP('Green+Social Interface'!$I$38,'Look-ups'!$A$15:$B$43,2,0)</f>
        <v>3.2581500000000001</v>
      </c>
      <c r="G25" s="211"/>
      <c r="H25" s="212"/>
      <c r="I25" s="213"/>
      <c r="J25" s="214">
        <f>IF(AND(K25&lt;&gt;0,$D$72&gt;0),K25/$D$72,0)</f>
        <v>0</v>
      </c>
      <c r="K25" s="214">
        <f t="shared" si="13"/>
        <v>0</v>
      </c>
      <c r="L25" s="215">
        <f t="shared" si="14"/>
        <v>0</v>
      </c>
      <c r="M25" s="216">
        <f>IF('Green+Social Interface'!U11&gt;0,(('Green+Social Interface'!$U$76*'Green+Social Interface'!$Z$68*((ROUNDDOWN(($D$76-'Green+Social Interface'!$F$62)/'Green+Social Interface'!$U$11*100,-1)/10)*1.13)*'Green Infrastructure'!$F$25))*0.25,0)</f>
        <v>0</v>
      </c>
      <c r="N25" s="216">
        <f>IF($M$25&lt;&gt;0,$M$25*(1+$D$74),0)</f>
        <v>0</v>
      </c>
      <c r="O25" s="216">
        <f t="shared" ref="O25:Q25" si="18">IF($M$25&lt;&gt;0,$M$25*(1+$D$74),0)</f>
        <v>0</v>
      </c>
      <c r="P25" s="216">
        <f t="shared" si="18"/>
        <v>0</v>
      </c>
      <c r="Q25" s="216">
        <f t="shared" si="18"/>
        <v>0</v>
      </c>
      <c r="R25" s="216">
        <f>IF($M$25&lt;&gt;0,($M$25*2)*(1+$D$74),0)</f>
        <v>0</v>
      </c>
      <c r="S25" s="216">
        <f t="shared" ref="S25:V25" si="19">IF($M$25&lt;&gt;0,($M$25*2)*(1+$D$74),0)</f>
        <v>0</v>
      </c>
      <c r="T25" s="216">
        <f t="shared" si="19"/>
        <v>0</v>
      </c>
      <c r="U25" s="216">
        <f t="shared" si="19"/>
        <v>0</v>
      </c>
      <c r="V25" s="216">
        <f t="shared" si="19"/>
        <v>0</v>
      </c>
      <c r="W25" s="216">
        <f>IF($M$25&lt;&gt;0,($M$25*3)*(1+$D$74),0)</f>
        <v>0</v>
      </c>
      <c r="X25" s="216">
        <f t="shared" ref="X25:AF25" si="20">IF($M$25&lt;&gt;0,($M$25*3)*(1+$D$74),0)</f>
        <v>0</v>
      </c>
      <c r="Y25" s="216">
        <f t="shared" si="20"/>
        <v>0</v>
      </c>
      <c r="Z25" s="216">
        <f t="shared" si="20"/>
        <v>0</v>
      </c>
      <c r="AA25" s="216">
        <f t="shared" si="20"/>
        <v>0</v>
      </c>
      <c r="AB25" s="216">
        <f t="shared" si="20"/>
        <v>0</v>
      </c>
      <c r="AC25" s="216">
        <f t="shared" si="20"/>
        <v>0</v>
      </c>
      <c r="AD25" s="216">
        <f>IF($M$25&lt;&gt;0,($M$25*3)*(1+$D$74),0)</f>
        <v>0</v>
      </c>
      <c r="AE25" s="216">
        <f t="shared" si="20"/>
        <v>0</v>
      </c>
      <c r="AF25" s="216">
        <f t="shared" si="20"/>
        <v>0</v>
      </c>
      <c r="AG25" s="216">
        <f>IF($M$25&lt;&gt;0,($M$25*4)*(1+$D$74),0)</f>
        <v>0</v>
      </c>
      <c r="AH25" s="216">
        <f t="shared" ref="AH25:AZ25" si="21">IF($M$25&lt;&gt;0,($M$25*4)*(1+$D$74),0)</f>
        <v>0</v>
      </c>
      <c r="AI25" s="216">
        <f t="shared" si="21"/>
        <v>0</v>
      </c>
      <c r="AJ25" s="216">
        <f t="shared" si="21"/>
        <v>0</v>
      </c>
      <c r="AK25" s="216">
        <f t="shared" si="21"/>
        <v>0</v>
      </c>
      <c r="AL25" s="216">
        <f t="shared" si="21"/>
        <v>0</v>
      </c>
      <c r="AM25" s="216">
        <f t="shared" si="21"/>
        <v>0</v>
      </c>
      <c r="AN25" s="216">
        <f t="shared" si="21"/>
        <v>0</v>
      </c>
      <c r="AO25" s="216">
        <f t="shared" si="21"/>
        <v>0</v>
      </c>
      <c r="AP25" s="216">
        <f t="shared" si="21"/>
        <v>0</v>
      </c>
      <c r="AQ25" s="216">
        <f t="shared" si="21"/>
        <v>0</v>
      </c>
      <c r="AR25" s="216">
        <f t="shared" si="21"/>
        <v>0</v>
      </c>
      <c r="AS25" s="216">
        <f t="shared" si="21"/>
        <v>0</v>
      </c>
      <c r="AT25" s="216">
        <f t="shared" si="21"/>
        <v>0</v>
      </c>
      <c r="AU25" s="216">
        <f t="shared" si="21"/>
        <v>0</v>
      </c>
      <c r="AV25" s="216">
        <f t="shared" si="21"/>
        <v>0</v>
      </c>
      <c r="AW25" s="216">
        <f t="shared" si="21"/>
        <v>0</v>
      </c>
      <c r="AX25" s="216">
        <f t="shared" si="21"/>
        <v>0</v>
      </c>
      <c r="AY25" s="216">
        <f t="shared" si="21"/>
        <v>0</v>
      </c>
      <c r="AZ25" s="216">
        <f t="shared" si="21"/>
        <v>0</v>
      </c>
    </row>
    <row r="26" spans="2:52" x14ac:dyDescent="0.25">
      <c r="B26" s="208"/>
      <c r="C26" s="209" t="s">
        <v>264</v>
      </c>
      <c r="D26" s="209" t="s">
        <v>66</v>
      </c>
      <c r="E26" s="218">
        <v>3.0449999999999999</v>
      </c>
      <c r="F26" s="210">
        <f>E26*VLOOKUP('Green+Social Interface'!$I$38,'Look-ups'!$A$15:$B$43,2,0)</f>
        <v>3.2581500000000001</v>
      </c>
      <c r="G26" s="211"/>
      <c r="H26" s="212"/>
      <c r="I26" s="213"/>
      <c r="J26" s="214">
        <f>IF(AND(K26&lt;&gt;0,$D$72&gt;0),K26/$D$72,0)</f>
        <v>0</v>
      </c>
      <c r="K26" s="214">
        <f t="shared" si="13"/>
        <v>0</v>
      </c>
      <c r="L26" s="215">
        <f t="shared" si="14"/>
        <v>0</v>
      </c>
      <c r="M26" s="216">
        <f>IF('Green+Social Interface'!U11&gt;0,('Green+Social Interface'!$U$76*'Green+Social Interface'!$Z$68*((ROUNDDOWN(($D$77-('Green+Social Interface'!$F$61-'Green+Social Interface'!$F$62))/'Green+Social Interface'!$U$11*100,-1)/10)*0.5)*'Green Infrastructure'!$F$26),0)</f>
        <v>0</v>
      </c>
      <c r="N26" s="216">
        <f>IF(M26&lt;&gt;0,M26*(1+$D$74),0)</f>
        <v>0</v>
      </c>
      <c r="O26" s="216">
        <f t="shared" ref="O26:AZ26" si="22">IF(N26&lt;&gt;0,N26*(1+$D$74),0)</f>
        <v>0</v>
      </c>
      <c r="P26" s="216">
        <f t="shared" si="22"/>
        <v>0</v>
      </c>
      <c r="Q26" s="216">
        <f t="shared" si="22"/>
        <v>0</v>
      </c>
      <c r="R26" s="216">
        <f t="shared" si="22"/>
        <v>0</v>
      </c>
      <c r="S26" s="216">
        <f t="shared" si="22"/>
        <v>0</v>
      </c>
      <c r="T26" s="216">
        <f t="shared" si="22"/>
        <v>0</v>
      </c>
      <c r="U26" s="216">
        <f t="shared" si="22"/>
        <v>0</v>
      </c>
      <c r="V26" s="216">
        <f t="shared" si="22"/>
        <v>0</v>
      </c>
      <c r="W26" s="216">
        <f t="shared" si="22"/>
        <v>0</v>
      </c>
      <c r="X26" s="216">
        <f t="shared" si="22"/>
        <v>0</v>
      </c>
      <c r="Y26" s="216">
        <f t="shared" si="22"/>
        <v>0</v>
      </c>
      <c r="Z26" s="216">
        <f t="shared" si="22"/>
        <v>0</v>
      </c>
      <c r="AA26" s="216">
        <f t="shared" si="22"/>
        <v>0</v>
      </c>
      <c r="AB26" s="216">
        <f t="shared" si="22"/>
        <v>0</v>
      </c>
      <c r="AC26" s="216">
        <f t="shared" si="22"/>
        <v>0</v>
      </c>
      <c r="AD26" s="216">
        <f t="shared" si="22"/>
        <v>0</v>
      </c>
      <c r="AE26" s="216">
        <f t="shared" si="22"/>
        <v>0</v>
      </c>
      <c r="AF26" s="216">
        <f t="shared" si="22"/>
        <v>0</v>
      </c>
      <c r="AG26" s="216">
        <f t="shared" si="22"/>
        <v>0</v>
      </c>
      <c r="AH26" s="216">
        <f t="shared" si="22"/>
        <v>0</v>
      </c>
      <c r="AI26" s="216">
        <f t="shared" si="22"/>
        <v>0</v>
      </c>
      <c r="AJ26" s="216">
        <f t="shared" si="22"/>
        <v>0</v>
      </c>
      <c r="AK26" s="216">
        <f t="shared" si="22"/>
        <v>0</v>
      </c>
      <c r="AL26" s="216">
        <f t="shared" si="22"/>
        <v>0</v>
      </c>
      <c r="AM26" s="216">
        <f t="shared" si="22"/>
        <v>0</v>
      </c>
      <c r="AN26" s="216">
        <f t="shared" si="22"/>
        <v>0</v>
      </c>
      <c r="AO26" s="216">
        <f t="shared" si="22"/>
        <v>0</v>
      </c>
      <c r="AP26" s="216">
        <f t="shared" si="22"/>
        <v>0</v>
      </c>
      <c r="AQ26" s="216">
        <f t="shared" si="22"/>
        <v>0</v>
      </c>
      <c r="AR26" s="216">
        <f t="shared" si="22"/>
        <v>0</v>
      </c>
      <c r="AS26" s="216">
        <f t="shared" si="22"/>
        <v>0</v>
      </c>
      <c r="AT26" s="216">
        <f t="shared" si="22"/>
        <v>0</v>
      </c>
      <c r="AU26" s="216">
        <f t="shared" si="22"/>
        <v>0</v>
      </c>
      <c r="AV26" s="216">
        <f t="shared" si="22"/>
        <v>0</v>
      </c>
      <c r="AW26" s="216">
        <f t="shared" si="22"/>
        <v>0</v>
      </c>
      <c r="AX26" s="216">
        <f t="shared" si="22"/>
        <v>0</v>
      </c>
      <c r="AY26" s="216">
        <f t="shared" si="22"/>
        <v>0</v>
      </c>
      <c r="AZ26" s="216">
        <f t="shared" si="22"/>
        <v>0</v>
      </c>
    </row>
    <row r="27" spans="2:52" x14ac:dyDescent="0.25">
      <c r="B27" s="357" t="s">
        <v>1058</v>
      </c>
      <c r="C27" s="209" t="s">
        <v>266</v>
      </c>
      <c r="D27" s="209" t="s">
        <v>70</v>
      </c>
      <c r="E27" s="242">
        <v>14.175000000000001</v>
      </c>
      <c r="F27" s="210">
        <f>E27*VLOOKUP('Green+Social Interface'!$I$38,'Look-ups'!$A$15:$B$43,2,0)</f>
        <v>15.167250000000001</v>
      </c>
      <c r="G27" s="211"/>
      <c r="H27" s="212"/>
      <c r="I27" s="213"/>
      <c r="J27" s="214">
        <f>IF(AND(K27&lt;&gt;0,$D$72&gt;0),K27/$D$72,0)</f>
        <v>0</v>
      </c>
      <c r="K27" s="214">
        <f t="shared" si="13"/>
        <v>0</v>
      </c>
      <c r="L27" s="215">
        <f t="shared" si="14"/>
        <v>0</v>
      </c>
      <c r="M27" s="216">
        <f>IF('Green+Social Interface'!U11&gt;0,(($D$73*((ROUNDDOWN(($D$76-'Green+Social Interface'!$F$62)/'Green+Social Interface'!$U$11*100,-1)/10)*1.13)*'Green Infrastructure'!$F$27)*0.25),0)</f>
        <v>0</v>
      </c>
      <c r="N27" s="216">
        <f>IF($M$27&lt;&gt;0,$M$27*(1+$D$74),0)</f>
        <v>0</v>
      </c>
      <c r="O27" s="216">
        <f t="shared" ref="O27:Q27" si="23">IF($M$27&lt;&gt;0,$M$27*(1+$D$74),0)</f>
        <v>0</v>
      </c>
      <c r="P27" s="216">
        <f t="shared" si="23"/>
        <v>0</v>
      </c>
      <c r="Q27" s="216">
        <f t="shared" si="23"/>
        <v>0</v>
      </c>
      <c r="R27" s="216">
        <f>IF($M$27&lt;&gt;0,($M$27*2)*(1+$D$74),0)</f>
        <v>0</v>
      </c>
      <c r="S27" s="216">
        <f t="shared" ref="S27:V27" si="24">IF($M$27&lt;&gt;0,($M$27*2)*(1+$D$74),0)</f>
        <v>0</v>
      </c>
      <c r="T27" s="216">
        <f t="shared" si="24"/>
        <v>0</v>
      </c>
      <c r="U27" s="216">
        <f t="shared" si="24"/>
        <v>0</v>
      </c>
      <c r="V27" s="216">
        <f t="shared" si="24"/>
        <v>0</v>
      </c>
      <c r="W27" s="216">
        <f>IF($M$27&lt;&gt;0,($M$27*3)*(1+$D$74),0)</f>
        <v>0</v>
      </c>
      <c r="X27" s="216">
        <f t="shared" ref="X27:AF27" si="25">IF($M$27&lt;&gt;0,($M$27*3)*(1+$D$74),0)</f>
        <v>0</v>
      </c>
      <c r="Y27" s="216">
        <f t="shared" si="25"/>
        <v>0</v>
      </c>
      <c r="Z27" s="216">
        <f t="shared" si="25"/>
        <v>0</v>
      </c>
      <c r="AA27" s="216">
        <f t="shared" si="25"/>
        <v>0</v>
      </c>
      <c r="AB27" s="216">
        <f t="shared" si="25"/>
        <v>0</v>
      </c>
      <c r="AC27" s="216">
        <f t="shared" si="25"/>
        <v>0</v>
      </c>
      <c r="AD27" s="216">
        <f t="shared" si="25"/>
        <v>0</v>
      </c>
      <c r="AE27" s="216">
        <f t="shared" si="25"/>
        <v>0</v>
      </c>
      <c r="AF27" s="216">
        <f t="shared" si="25"/>
        <v>0</v>
      </c>
      <c r="AG27" s="216">
        <f>IF($M$27&lt;&gt;0,($M$27*4)*(1+$D$74),0)</f>
        <v>0</v>
      </c>
      <c r="AH27" s="216">
        <f t="shared" ref="AH27:AZ27" si="26">IF($M$27&lt;&gt;0,($M$27*4)*(1+$D$74),0)</f>
        <v>0</v>
      </c>
      <c r="AI27" s="216">
        <f t="shared" si="26"/>
        <v>0</v>
      </c>
      <c r="AJ27" s="216">
        <f t="shared" si="26"/>
        <v>0</v>
      </c>
      <c r="AK27" s="216">
        <f t="shared" si="26"/>
        <v>0</v>
      </c>
      <c r="AL27" s="216">
        <f t="shared" si="26"/>
        <v>0</v>
      </c>
      <c r="AM27" s="216">
        <f t="shared" si="26"/>
        <v>0</v>
      </c>
      <c r="AN27" s="216">
        <f t="shared" si="26"/>
        <v>0</v>
      </c>
      <c r="AO27" s="216">
        <f t="shared" si="26"/>
        <v>0</v>
      </c>
      <c r="AP27" s="216">
        <f t="shared" si="26"/>
        <v>0</v>
      </c>
      <c r="AQ27" s="216">
        <f t="shared" si="26"/>
        <v>0</v>
      </c>
      <c r="AR27" s="216">
        <f t="shared" si="26"/>
        <v>0</v>
      </c>
      <c r="AS27" s="216">
        <f t="shared" si="26"/>
        <v>0</v>
      </c>
      <c r="AT27" s="216">
        <f t="shared" si="26"/>
        <v>0</v>
      </c>
      <c r="AU27" s="216">
        <f t="shared" si="26"/>
        <v>0</v>
      </c>
      <c r="AV27" s="216">
        <f t="shared" si="26"/>
        <v>0</v>
      </c>
      <c r="AW27" s="216">
        <f t="shared" si="26"/>
        <v>0</v>
      </c>
      <c r="AX27" s="216">
        <f t="shared" si="26"/>
        <v>0</v>
      </c>
      <c r="AY27" s="216">
        <f t="shared" si="26"/>
        <v>0</v>
      </c>
      <c r="AZ27" s="216">
        <f t="shared" si="26"/>
        <v>0</v>
      </c>
    </row>
    <row r="28" spans="2:52" x14ac:dyDescent="0.25">
      <c r="B28" s="208"/>
      <c r="C28" s="209" t="s">
        <v>267</v>
      </c>
      <c r="D28" s="209" t="s">
        <v>70</v>
      </c>
      <c r="E28" s="242">
        <v>14.175000000000001</v>
      </c>
      <c r="F28" s="210">
        <f>E28*VLOOKUP('Green+Social Interface'!$I$38,'Look-ups'!$A$15:$B$43,2,0)</f>
        <v>15.167250000000001</v>
      </c>
      <c r="G28" s="211"/>
      <c r="H28" s="212"/>
      <c r="I28" s="213"/>
      <c r="J28" s="214">
        <f>IF(AND(K28&lt;&gt;0,$D$72&gt;0),K28/$D$72,0)</f>
        <v>0</v>
      </c>
      <c r="K28" s="214">
        <f t="shared" si="13"/>
        <v>0</v>
      </c>
      <c r="L28" s="215">
        <f t="shared" si="14"/>
        <v>0</v>
      </c>
      <c r="M28" s="216">
        <f>IF('Green+Social Interface'!U11&gt;0,($D$73*((ROUNDDOWN(($D$77-('Green+Social Interface'!$F$61-'Green+Social Interface'!$F$62))/'Green+Social Interface'!$U$11*100,-1)/10)*0.5)*'Green Infrastructure'!$F$28),0)</f>
        <v>0</v>
      </c>
      <c r="N28" s="216">
        <f>IF(M28&lt;&gt;0,M28*(1+$D$74),0)</f>
        <v>0</v>
      </c>
      <c r="O28" s="216">
        <f t="shared" ref="O28:AZ28" si="27">IF(N28&lt;&gt;0,N28*(1+$D$74),0)</f>
        <v>0</v>
      </c>
      <c r="P28" s="216">
        <f t="shared" si="27"/>
        <v>0</v>
      </c>
      <c r="Q28" s="216">
        <f t="shared" si="27"/>
        <v>0</v>
      </c>
      <c r="R28" s="216">
        <f t="shared" si="27"/>
        <v>0</v>
      </c>
      <c r="S28" s="216">
        <f t="shared" si="27"/>
        <v>0</v>
      </c>
      <c r="T28" s="216">
        <f t="shared" si="27"/>
        <v>0</v>
      </c>
      <c r="U28" s="216">
        <f t="shared" si="27"/>
        <v>0</v>
      </c>
      <c r="V28" s="216">
        <f t="shared" si="27"/>
        <v>0</v>
      </c>
      <c r="W28" s="216">
        <f t="shared" si="27"/>
        <v>0</v>
      </c>
      <c r="X28" s="216">
        <f t="shared" si="27"/>
        <v>0</v>
      </c>
      <c r="Y28" s="216">
        <f t="shared" si="27"/>
        <v>0</v>
      </c>
      <c r="Z28" s="216">
        <f t="shared" si="27"/>
        <v>0</v>
      </c>
      <c r="AA28" s="216">
        <f t="shared" si="27"/>
        <v>0</v>
      </c>
      <c r="AB28" s="216">
        <f t="shared" si="27"/>
        <v>0</v>
      </c>
      <c r="AC28" s="216">
        <f t="shared" si="27"/>
        <v>0</v>
      </c>
      <c r="AD28" s="216">
        <f t="shared" si="27"/>
        <v>0</v>
      </c>
      <c r="AE28" s="216">
        <f t="shared" si="27"/>
        <v>0</v>
      </c>
      <c r="AF28" s="216">
        <f t="shared" si="27"/>
        <v>0</v>
      </c>
      <c r="AG28" s="216">
        <f t="shared" si="27"/>
        <v>0</v>
      </c>
      <c r="AH28" s="216">
        <f t="shared" si="27"/>
        <v>0</v>
      </c>
      <c r="AI28" s="216">
        <f t="shared" si="27"/>
        <v>0</v>
      </c>
      <c r="AJ28" s="216">
        <f t="shared" si="27"/>
        <v>0</v>
      </c>
      <c r="AK28" s="216">
        <f t="shared" si="27"/>
        <v>0</v>
      </c>
      <c r="AL28" s="216">
        <f t="shared" si="27"/>
        <v>0</v>
      </c>
      <c r="AM28" s="216">
        <f t="shared" si="27"/>
        <v>0</v>
      </c>
      <c r="AN28" s="216">
        <f t="shared" si="27"/>
        <v>0</v>
      </c>
      <c r="AO28" s="216">
        <f t="shared" si="27"/>
        <v>0</v>
      </c>
      <c r="AP28" s="216">
        <f t="shared" si="27"/>
        <v>0</v>
      </c>
      <c r="AQ28" s="216">
        <f t="shared" si="27"/>
        <v>0</v>
      </c>
      <c r="AR28" s="216">
        <f t="shared" si="27"/>
        <v>0</v>
      </c>
      <c r="AS28" s="216">
        <f t="shared" si="27"/>
        <v>0</v>
      </c>
      <c r="AT28" s="216">
        <f t="shared" si="27"/>
        <v>0</v>
      </c>
      <c r="AU28" s="216">
        <f t="shared" si="27"/>
        <v>0</v>
      </c>
      <c r="AV28" s="216">
        <f t="shared" si="27"/>
        <v>0</v>
      </c>
      <c r="AW28" s="216">
        <f t="shared" si="27"/>
        <v>0</v>
      </c>
      <c r="AX28" s="216">
        <f t="shared" si="27"/>
        <v>0</v>
      </c>
      <c r="AY28" s="216">
        <f t="shared" si="27"/>
        <v>0</v>
      </c>
      <c r="AZ28" s="216">
        <f t="shared" si="27"/>
        <v>0</v>
      </c>
    </row>
    <row r="29" spans="2:52" x14ac:dyDescent="0.25">
      <c r="B29" s="357" t="s">
        <v>1058</v>
      </c>
      <c r="C29" s="209" t="s">
        <v>269</v>
      </c>
      <c r="D29" s="209" t="s">
        <v>66</v>
      </c>
      <c r="E29" s="363">
        <v>3.5000000000000003E-2</v>
      </c>
      <c r="F29" s="364" t="s">
        <v>1062</v>
      </c>
      <c r="G29" s="363"/>
      <c r="H29" s="212"/>
      <c r="I29" s="213"/>
      <c r="J29" s="365">
        <f t="shared" ref="J29:J30" si="28">IF(AND(K29&gt;0,$D$72&gt;0),K29/$D$72,0)</f>
        <v>0</v>
      </c>
      <c r="K29" s="365">
        <f t="shared" si="13"/>
        <v>0</v>
      </c>
      <c r="L29" s="366">
        <f t="shared" si="14"/>
        <v>0</v>
      </c>
      <c r="M29" s="210">
        <f>IF('Green+Social Interface'!$U$11&gt;0,(($D$73*((ROUNDDOWN(($D$76-'Green+Social Interface'!$F$62)/'Green+Social Interface'!$U$11*100,-1)/10)*1.13)*'Green Infrastructure'!$E$29)*0.25),0)</f>
        <v>0</v>
      </c>
      <c r="N29" s="210">
        <f>IF('Green+Social Interface'!$U$11&gt;0,(($D$73*((ROUNDDOWN(($D$76-'Green+Social Interface'!$F$62)/'Green+Social Interface'!$U$11*100,-1)/10)*1.13)*'Green Infrastructure'!$E$29)*0.25),0)</f>
        <v>0</v>
      </c>
      <c r="O29" s="210">
        <f>IF('Green+Social Interface'!$U$11&gt;0,(($D$73*((ROUNDDOWN(($D$76-'Green+Social Interface'!$F$62)/'Green+Social Interface'!$U$11*100,-1)/10)*1.13)*'Green Infrastructure'!$E$29)*0.25),0)</f>
        <v>0</v>
      </c>
      <c r="P29" s="210">
        <f>IF('Green+Social Interface'!$U$11&gt;0,(($D$73*((ROUNDDOWN(($D$76-'Green+Social Interface'!$F$62)/'Green+Social Interface'!$U$11*100,-1)/10)*1.13)*'Green Infrastructure'!$E$29)*0.25),0)</f>
        <v>0</v>
      </c>
      <c r="Q29" s="210">
        <f>IF('Green+Social Interface'!$U$11&gt;0,(($D$73*((ROUNDDOWN(($D$76-'Green+Social Interface'!$F$62)/'Green+Social Interface'!$U$11*100,-1)/10)*1.13)*'Green Infrastructure'!$E$29)*0.25),0)</f>
        <v>0</v>
      </c>
      <c r="R29" s="210">
        <f>IF('Green+Social Interface'!$U$11&gt;0,(($D$73*((ROUNDDOWN(($D$76-'Green+Social Interface'!$F$62)/'Green+Social Interface'!$U$11*100,-1)/10)*1.13)*'Green Infrastructure'!$E$29)*0.5),0)</f>
        <v>0</v>
      </c>
      <c r="S29" s="210">
        <f>IF('Green+Social Interface'!$U$11&gt;0,(($D$73*((ROUNDDOWN(($D$76-'Green+Social Interface'!$F$62)/'Green+Social Interface'!$U$11*100,-1)/10)*1.13)*'Green Infrastructure'!$E$29)*0.5),0)</f>
        <v>0</v>
      </c>
      <c r="T29" s="210">
        <f>IF('Green+Social Interface'!$U$11&gt;0,(($D$73*((ROUNDDOWN(($D$76-'Green+Social Interface'!$F$62)/'Green+Social Interface'!$U$11*100,-1)/10)*1.13)*'Green Infrastructure'!$E$29)*0.5),0)</f>
        <v>0</v>
      </c>
      <c r="U29" s="210">
        <f>IF('Green+Social Interface'!$U$11&gt;0,(($D$73*((ROUNDDOWN(($D$76-'Green+Social Interface'!$F$62)/'Green+Social Interface'!$U$11*100,-1)/10)*1.13)*'Green Infrastructure'!$E$29)*0.5),0)</f>
        <v>0</v>
      </c>
      <c r="V29" s="210">
        <f>IF('Green+Social Interface'!$U$11&gt;0,(($D$73*((ROUNDDOWN(($D$76-'Green+Social Interface'!$F$62)/'Green+Social Interface'!$U$11*100,-1)/10)*1.13)*'Green Infrastructure'!$E$29)*0.5),0)</f>
        <v>0</v>
      </c>
      <c r="W29" s="210">
        <f>IF('Green+Social Interface'!$U$11&gt;0,(($D$73*((ROUNDDOWN(($D$76-'Green+Social Interface'!$F$62)/'Green+Social Interface'!$U$11*100,-1)/10)*1.13)*'Green Infrastructure'!$E$29)*0.75),0)</f>
        <v>0</v>
      </c>
      <c r="X29" s="210">
        <f>IF('Green+Social Interface'!$U$11&gt;0,(($D$73*((ROUNDDOWN(($D$76-'Green+Social Interface'!$F$62)/'Green+Social Interface'!$U$11*100,-1)/10)*1.13)*'Green Infrastructure'!$E$29)*0.75),0)</f>
        <v>0</v>
      </c>
      <c r="Y29" s="210">
        <f>IF('Green+Social Interface'!$U$11&gt;0,(($D$73*((ROUNDDOWN(($D$76-'Green+Social Interface'!$F$62)/'Green+Social Interface'!$U$11*100,-1)/10)*1.13)*'Green Infrastructure'!$E$29)*0.75),0)</f>
        <v>0</v>
      </c>
      <c r="Z29" s="210">
        <f>IF('Green+Social Interface'!$U$11&gt;0,(($D$73*((ROUNDDOWN(($D$76-'Green+Social Interface'!$F$62)/'Green+Social Interface'!$U$11*100,-1)/10)*1.13)*'Green Infrastructure'!$E$29)*0.75),0)</f>
        <v>0</v>
      </c>
      <c r="AA29" s="210">
        <f>IF('Green+Social Interface'!$U$11&gt;0,(($D$73*((ROUNDDOWN(($D$76-'Green+Social Interface'!$F$62)/'Green+Social Interface'!$U$11*100,-1)/10)*1.13)*'Green Infrastructure'!$E$29)*0.75),0)</f>
        <v>0</v>
      </c>
      <c r="AB29" s="210">
        <f>IF('Green+Social Interface'!$U$11&gt;0,(($D$73*((ROUNDDOWN(($D$76-'Green+Social Interface'!$F$62)/'Green+Social Interface'!$U$11*100,-1)/10)*1.13)*'Green Infrastructure'!$E$29)*0.75),0)</f>
        <v>0</v>
      </c>
      <c r="AC29" s="210">
        <f>IF('Green+Social Interface'!$U$11&gt;0,(($D$73*((ROUNDDOWN(($D$76-'Green+Social Interface'!$F$62)/'Green+Social Interface'!$U$11*100,-1)/10)*1.13)*'Green Infrastructure'!$E$29)*0.75),0)</f>
        <v>0</v>
      </c>
      <c r="AD29" s="210">
        <f>IF('Green+Social Interface'!$U$11&gt;0,(($D$73*((ROUNDDOWN(($D$76-'Green+Social Interface'!$F$62)/'Green+Social Interface'!$U$11*100,-1)/10)*1.13)*'Green Infrastructure'!$E$29)*0.75),0)</f>
        <v>0</v>
      </c>
      <c r="AE29" s="210">
        <f>IF('Green+Social Interface'!$U$11&gt;0,(($D$73*((ROUNDDOWN(($D$76-'Green+Social Interface'!$F$62)/'Green+Social Interface'!$U$11*100,-1)/10)*1.13)*'Green Infrastructure'!$E$29)*0.75),0)</f>
        <v>0</v>
      </c>
      <c r="AF29" s="210">
        <f>IF('Green+Social Interface'!$U$11&gt;0,(($D$73*((ROUNDDOWN(($D$76-'Green+Social Interface'!$F$62)/'Green+Social Interface'!$U$11*100,-1)/10)*1.13)*'Green Infrastructure'!$E$29)*0.75),0)</f>
        <v>0</v>
      </c>
      <c r="AG29" s="210">
        <f>IF('Green+Social Interface'!$U$11&gt;0,(($D$73*((ROUNDDOWN(($D$76-'Green+Social Interface'!$F$62)/'Green+Social Interface'!$U$11*100,-1)/10)*1.13)*'Green Infrastructure'!$E$29)),0)</f>
        <v>0</v>
      </c>
      <c r="AH29" s="210">
        <f>IF('Green+Social Interface'!$U$11&gt;0,(($D$73*((ROUNDDOWN(($D$76-'Green+Social Interface'!$F$62)/'Green+Social Interface'!$U$11*100,-1)/10)*1.13)*'Green Infrastructure'!$E$29)),0)</f>
        <v>0</v>
      </c>
      <c r="AI29" s="210">
        <f>IF('Green+Social Interface'!$U$11&gt;0,(($D$73*((ROUNDDOWN(($D$76-'Green+Social Interface'!$F$62)/'Green+Social Interface'!$U$11*100,-1)/10)*1.13)*'Green Infrastructure'!$E$29)),0)</f>
        <v>0</v>
      </c>
      <c r="AJ29" s="210">
        <f>IF('Green+Social Interface'!$U$11&gt;0,(($D$73*((ROUNDDOWN(($D$76-'Green+Social Interface'!$F$62)/'Green+Social Interface'!$U$11*100,-1)/10)*1.13)*'Green Infrastructure'!$E$29)),0)</f>
        <v>0</v>
      </c>
      <c r="AK29" s="210">
        <f>IF('Green+Social Interface'!$U$11&gt;0,(($D$73*((ROUNDDOWN(($D$76-'Green+Social Interface'!$F$62)/'Green+Social Interface'!$U$11*100,-1)/10)*1.13)*'Green Infrastructure'!$E$29)),0)</f>
        <v>0</v>
      </c>
      <c r="AL29" s="210">
        <f>IF('Green+Social Interface'!$U$11&gt;0,(($D$73*((ROUNDDOWN(($D$76-'Green+Social Interface'!$F$62)/'Green+Social Interface'!$U$11*100,-1)/10)*1.13)*'Green Infrastructure'!$E$29)),0)</f>
        <v>0</v>
      </c>
      <c r="AM29" s="210">
        <f>IF('Green+Social Interface'!$U$11&gt;0,(($D$73*((ROUNDDOWN(($D$76-'Green+Social Interface'!$F$62)/'Green+Social Interface'!$U$11*100,-1)/10)*1.13)*'Green Infrastructure'!$E$29)),0)</f>
        <v>0</v>
      </c>
      <c r="AN29" s="210">
        <f>IF('Green+Social Interface'!$U$11&gt;0,(($D$73*((ROUNDDOWN(($D$76-'Green+Social Interface'!$F$62)/'Green+Social Interface'!$U$11*100,-1)/10)*1.13)*'Green Infrastructure'!$E$29)),0)</f>
        <v>0</v>
      </c>
      <c r="AO29" s="210">
        <f>IF('Green+Social Interface'!$U$11&gt;0,(($D$73*((ROUNDDOWN(($D$76-'Green+Social Interface'!$F$62)/'Green+Social Interface'!$U$11*100,-1)/10)*1.13)*'Green Infrastructure'!$E$29)),0)</f>
        <v>0</v>
      </c>
      <c r="AP29" s="210">
        <f>IF('Green+Social Interface'!$U$11&gt;0,(($D$73*((ROUNDDOWN(($D$76-'Green+Social Interface'!$F$62)/'Green+Social Interface'!$U$11*100,-1)/10)*1.13)*'Green Infrastructure'!$E$29)),0)</f>
        <v>0</v>
      </c>
      <c r="AQ29" s="210">
        <f>IF('Green+Social Interface'!$U$11&gt;0,(($D$73*((ROUNDDOWN(($D$76-'Green+Social Interface'!$F$62)/'Green+Social Interface'!$U$11*100,-1)/10)*1.13)*'Green Infrastructure'!$E$29)),0)</f>
        <v>0</v>
      </c>
      <c r="AR29" s="210">
        <f>IF('Green+Social Interface'!$U$11&gt;0,(($D$73*((ROUNDDOWN(($D$76-'Green+Social Interface'!$F$62)/'Green+Social Interface'!$U$11*100,-1)/10)*1.13)*'Green Infrastructure'!$E$29)),0)</f>
        <v>0</v>
      </c>
      <c r="AS29" s="210">
        <f>IF('Green+Social Interface'!$U$11&gt;0,(($D$73*((ROUNDDOWN(($D$76-'Green+Social Interface'!$F$62)/'Green+Social Interface'!$U$11*100,-1)/10)*1.13)*'Green Infrastructure'!$E$29)),0)</f>
        <v>0</v>
      </c>
      <c r="AT29" s="210">
        <f>IF('Green+Social Interface'!$U$11&gt;0,(($D$73*((ROUNDDOWN(($D$76-'Green+Social Interface'!$F$62)/'Green+Social Interface'!$U$11*100,-1)/10)*1.13)*'Green Infrastructure'!$E$29)),0)</f>
        <v>0</v>
      </c>
      <c r="AU29" s="210">
        <f>IF('Green+Social Interface'!$U$11&gt;0,(($D$73*((ROUNDDOWN(($D$76-'Green+Social Interface'!$F$62)/'Green+Social Interface'!$U$11*100,-1)/10)*1.13)*'Green Infrastructure'!$E$29)),0)</f>
        <v>0</v>
      </c>
      <c r="AV29" s="210">
        <f>IF('Green+Social Interface'!$U$11&gt;0,(($D$73*((ROUNDDOWN(($D$76-'Green+Social Interface'!$F$62)/'Green+Social Interface'!$U$11*100,-1)/10)*1.13)*'Green Infrastructure'!$E$29)),0)</f>
        <v>0</v>
      </c>
      <c r="AW29" s="210">
        <f>IF('Green+Social Interface'!$U$11&gt;0,(($D$73*((ROUNDDOWN(($D$76-'Green+Social Interface'!$F$62)/'Green+Social Interface'!$U$11*100,-1)/10)*1.13)*'Green Infrastructure'!$E$29)),0)</f>
        <v>0</v>
      </c>
      <c r="AX29" s="210">
        <f>IF('Green+Social Interface'!$U$11&gt;0,(($D$73*((ROUNDDOWN(($D$76-'Green+Social Interface'!$F$62)/'Green+Social Interface'!$U$11*100,-1)/10)*1.13)*'Green Infrastructure'!$E$29)),0)</f>
        <v>0</v>
      </c>
      <c r="AY29" s="210">
        <f>IF('Green+Social Interface'!$U$11&gt;0,(($D$73*((ROUNDDOWN(($D$76-'Green+Social Interface'!$F$62)/'Green+Social Interface'!$U$11*100,-1)/10)*1.13)*'Green Infrastructure'!$E$29)),0)</f>
        <v>0</v>
      </c>
      <c r="AZ29" s="210">
        <f>IF('Green+Social Interface'!$U$11&gt;0,(($D$73*((ROUNDDOWN(($D$76-'Green+Social Interface'!$F$62)/'Green+Social Interface'!$U$11*100,-1)/10)*1.13)*'Green Infrastructure'!$E$29)),0)</f>
        <v>0</v>
      </c>
    </row>
    <row r="30" spans="2:52" x14ac:dyDescent="0.25">
      <c r="B30" s="208"/>
      <c r="C30" s="209" t="s">
        <v>270</v>
      </c>
      <c r="D30" s="209" t="s">
        <v>66</v>
      </c>
      <c r="E30" s="363">
        <v>3.5000000000000003E-2</v>
      </c>
      <c r="F30" s="364" t="s">
        <v>1062</v>
      </c>
      <c r="G30" s="363"/>
      <c r="H30" s="212"/>
      <c r="I30" s="213"/>
      <c r="J30" s="365">
        <f t="shared" si="28"/>
        <v>0</v>
      </c>
      <c r="K30" s="365">
        <f t="shared" si="13"/>
        <v>0</v>
      </c>
      <c r="L30" s="366">
        <f t="shared" si="14"/>
        <v>0</v>
      </c>
      <c r="M30" s="210">
        <f>IF('Green+Social Interface'!$U$11&gt;0,(($D$73*((ROUNDDOWN(($D$77-('Green+Social Interface'!$F$61-'Green+Social Interface'!$F$62))/'Green+Social Interface'!$U$11*100,-1)/10)*0.5)*'Green Infrastructure'!$E$30)),0)</f>
        <v>0</v>
      </c>
      <c r="N30" s="210">
        <f>IF('Green+Social Interface'!$U$11&gt;0,(($D$73*((ROUNDDOWN(($D$77-('Green+Social Interface'!$F$61-'Green+Social Interface'!$F$62))/'Green+Social Interface'!$U$11*100,-1)/10)*0.5)*'Green Infrastructure'!$E$30)),0)</f>
        <v>0</v>
      </c>
      <c r="O30" s="210">
        <f>IF('Green+Social Interface'!$U$11&gt;0,(($D$73*((ROUNDDOWN(($D$77-('Green+Social Interface'!$F$61-'Green+Social Interface'!$F$62))/'Green+Social Interface'!$U$11*100,-1)/10)*0.5)*'Green Infrastructure'!$E$30)),0)</f>
        <v>0</v>
      </c>
      <c r="P30" s="210">
        <f>IF('Green+Social Interface'!$U$11&gt;0,(($D$73*((ROUNDDOWN(($D$77-('Green+Social Interface'!$F$61-'Green+Social Interface'!$F$62))/'Green+Social Interface'!$U$11*100,-1)/10)*0.5)*'Green Infrastructure'!$E$30)),0)</f>
        <v>0</v>
      </c>
      <c r="Q30" s="210">
        <f>IF('Green+Social Interface'!$U$11&gt;0,(($D$73*((ROUNDDOWN(($D$77-('Green+Social Interface'!$F$61-'Green+Social Interface'!$F$62))/'Green+Social Interface'!$U$11*100,-1)/10)*0.5)*'Green Infrastructure'!$E$30)),0)</f>
        <v>0</v>
      </c>
      <c r="R30" s="210">
        <f>IF('Green+Social Interface'!$U$11&gt;0,(($D$73*((ROUNDDOWN(($D$77-('Green+Social Interface'!$F$61-'Green+Social Interface'!$F$62))/'Green+Social Interface'!$U$11*100,-1)/10)*0.5)*'Green Infrastructure'!$E$30)),0)</f>
        <v>0</v>
      </c>
      <c r="S30" s="210">
        <f>IF('Green+Social Interface'!$U$11&gt;0,(($D$73*((ROUNDDOWN(($D$77-('Green+Social Interface'!$F$61-'Green+Social Interface'!$F$62))/'Green+Social Interface'!$U$11*100,-1)/10)*0.5)*'Green Infrastructure'!$E$30)),0)</f>
        <v>0</v>
      </c>
      <c r="T30" s="210">
        <f>IF('Green+Social Interface'!$U$11&gt;0,(($D$73*((ROUNDDOWN(($D$77-('Green+Social Interface'!$F$61-'Green+Social Interface'!$F$62))/'Green+Social Interface'!$U$11*100,-1)/10)*0.5)*'Green Infrastructure'!$E$30)),0)</f>
        <v>0</v>
      </c>
      <c r="U30" s="210">
        <f>IF('Green+Social Interface'!$U$11&gt;0,(($D$73*((ROUNDDOWN(($D$77-('Green+Social Interface'!$F$61-'Green+Social Interface'!$F$62))/'Green+Social Interface'!$U$11*100,-1)/10)*0.5)*'Green Infrastructure'!$E$30)),0)</f>
        <v>0</v>
      </c>
      <c r="V30" s="210">
        <f>IF('Green+Social Interface'!$U$11&gt;0,(($D$73*((ROUNDDOWN(($D$77-('Green+Social Interface'!$F$61-'Green+Social Interface'!$F$62))/'Green+Social Interface'!$U$11*100,-1)/10)*0.5)*'Green Infrastructure'!$E$30)),0)</f>
        <v>0</v>
      </c>
      <c r="W30" s="210">
        <f>IF('Green+Social Interface'!$U$11&gt;0,(($D$73*((ROUNDDOWN(($D$77-('Green+Social Interface'!$F$61-'Green+Social Interface'!$F$62))/'Green+Social Interface'!$U$11*100,-1)/10)*0.5)*'Green Infrastructure'!$E$30)),0)</f>
        <v>0</v>
      </c>
      <c r="X30" s="210">
        <f>IF('Green+Social Interface'!$U$11&gt;0,(($D$73*((ROUNDDOWN(($D$77-('Green+Social Interface'!$F$61-'Green+Social Interface'!$F$62))/'Green+Social Interface'!$U$11*100,-1)/10)*0.5)*'Green Infrastructure'!$E$30)),0)</f>
        <v>0</v>
      </c>
      <c r="Y30" s="210">
        <f>IF('Green+Social Interface'!$U$11&gt;0,(($D$73*((ROUNDDOWN(($D$77-('Green+Social Interface'!$F$61-'Green+Social Interface'!$F$62))/'Green+Social Interface'!$U$11*100,-1)/10)*0.5)*'Green Infrastructure'!$E$30)),0)</f>
        <v>0</v>
      </c>
      <c r="Z30" s="210">
        <f>IF('Green+Social Interface'!$U$11&gt;0,(($D$73*((ROUNDDOWN(($D$77-('Green+Social Interface'!$F$61-'Green+Social Interface'!$F$62))/'Green+Social Interface'!$U$11*100,-1)/10)*0.5)*'Green Infrastructure'!$E$30)),0)</f>
        <v>0</v>
      </c>
      <c r="AA30" s="210">
        <f>IF('Green+Social Interface'!$U$11&gt;0,(($D$73*((ROUNDDOWN(($D$77-('Green+Social Interface'!$F$61-'Green+Social Interface'!$F$62))/'Green+Social Interface'!$U$11*100,-1)/10)*0.5)*'Green Infrastructure'!$E$30)),0)</f>
        <v>0</v>
      </c>
      <c r="AB30" s="210">
        <f>IF('Green+Social Interface'!$U$11&gt;0,(($D$73*((ROUNDDOWN(($D$77-('Green+Social Interface'!$F$61-'Green+Social Interface'!$F$62))/'Green+Social Interface'!$U$11*100,-1)/10)*0.5)*'Green Infrastructure'!$E$30)),0)</f>
        <v>0</v>
      </c>
      <c r="AC30" s="210">
        <f>IF('Green+Social Interface'!$U$11&gt;0,(($D$73*((ROUNDDOWN(($D$77-('Green+Social Interface'!$F$61-'Green+Social Interface'!$F$62))/'Green+Social Interface'!$U$11*100,-1)/10)*0.5)*'Green Infrastructure'!$E$30)),0)</f>
        <v>0</v>
      </c>
      <c r="AD30" s="210">
        <f>IF('Green+Social Interface'!$U$11&gt;0,(($D$73*((ROUNDDOWN(($D$77-('Green+Social Interface'!$F$61-'Green+Social Interface'!$F$62))/'Green+Social Interface'!$U$11*100,-1)/10)*0.5)*'Green Infrastructure'!$E$30)),0)</f>
        <v>0</v>
      </c>
      <c r="AE30" s="210">
        <f>IF('Green+Social Interface'!$U$11&gt;0,(($D$73*((ROUNDDOWN(($D$77-('Green+Social Interface'!$F$61-'Green+Social Interface'!$F$62))/'Green+Social Interface'!$U$11*100,-1)/10)*0.5)*'Green Infrastructure'!$E$30)),0)</f>
        <v>0</v>
      </c>
      <c r="AF30" s="210">
        <f>IF('Green+Social Interface'!$U$11&gt;0,(($D$73*((ROUNDDOWN(($D$77-('Green+Social Interface'!$F$61-'Green+Social Interface'!$F$62))/'Green+Social Interface'!$U$11*100,-1)/10)*0.5)*'Green Infrastructure'!$E$30)),0)</f>
        <v>0</v>
      </c>
      <c r="AG30" s="210">
        <f>IF('Green+Social Interface'!$U$11&gt;0,(($D$73*((ROUNDDOWN(($D$77-('Green+Social Interface'!$F$61-'Green+Social Interface'!$F$62))/'Green+Social Interface'!$U$11*100,-1)/10)*0.5)*'Green Infrastructure'!$E$30)),0)</f>
        <v>0</v>
      </c>
      <c r="AH30" s="210">
        <f>IF('Green+Social Interface'!$U$11&gt;0,(($D$73*((ROUNDDOWN(($D$77-('Green+Social Interface'!$F$61-'Green+Social Interface'!$F$62))/'Green+Social Interface'!$U$11*100,-1)/10)*0.5)*'Green Infrastructure'!$E$30)),0)</f>
        <v>0</v>
      </c>
      <c r="AI30" s="210">
        <f>IF('Green+Social Interface'!$U$11&gt;0,(($D$73*((ROUNDDOWN(($D$77-('Green+Social Interface'!$F$61-'Green+Social Interface'!$F$62))/'Green+Social Interface'!$U$11*100,-1)/10)*0.5)*'Green Infrastructure'!$E$30)),0)</f>
        <v>0</v>
      </c>
      <c r="AJ30" s="210">
        <f>IF('Green+Social Interface'!$U$11&gt;0,(($D$73*((ROUNDDOWN(($D$77-('Green+Social Interface'!$F$61-'Green+Social Interface'!$F$62))/'Green+Social Interface'!$U$11*100,-1)/10)*0.5)*'Green Infrastructure'!$E$30)),0)</f>
        <v>0</v>
      </c>
      <c r="AK30" s="210">
        <f>IF('Green+Social Interface'!$U$11&gt;0,(($D$73*((ROUNDDOWN(($D$77-('Green+Social Interface'!$F$61-'Green+Social Interface'!$F$62))/'Green+Social Interface'!$U$11*100,-1)/10)*0.5)*'Green Infrastructure'!$E$30)),0)</f>
        <v>0</v>
      </c>
      <c r="AL30" s="210">
        <f>IF('Green+Social Interface'!$U$11&gt;0,(($D$73*((ROUNDDOWN(($D$77-('Green+Social Interface'!$F$61-'Green+Social Interface'!$F$62))/'Green+Social Interface'!$U$11*100,-1)/10)*0.5)*'Green Infrastructure'!$E$30)),0)</f>
        <v>0</v>
      </c>
      <c r="AM30" s="210">
        <f>IF('Green+Social Interface'!$U$11&gt;0,(($D$73*((ROUNDDOWN(($D$77-('Green+Social Interface'!$F$61-'Green+Social Interface'!$F$62))/'Green+Social Interface'!$U$11*100,-1)/10)*0.5)*'Green Infrastructure'!$E$30)),0)</f>
        <v>0</v>
      </c>
      <c r="AN30" s="210">
        <f>IF('Green+Social Interface'!$U$11&gt;0,(($D$73*((ROUNDDOWN(($D$77-('Green+Social Interface'!$F$61-'Green+Social Interface'!$F$62))/'Green+Social Interface'!$U$11*100,-1)/10)*0.5)*'Green Infrastructure'!$E$30)),0)</f>
        <v>0</v>
      </c>
      <c r="AO30" s="210">
        <f>IF('Green+Social Interface'!$U$11&gt;0,(($D$73*((ROUNDDOWN(($D$77-('Green+Social Interface'!$F$61-'Green+Social Interface'!$F$62))/'Green+Social Interface'!$U$11*100,-1)/10)*0.5)*'Green Infrastructure'!$E$30)),0)</f>
        <v>0</v>
      </c>
      <c r="AP30" s="210">
        <f>IF('Green+Social Interface'!$U$11&gt;0,(($D$73*((ROUNDDOWN(($D$77-('Green+Social Interface'!$F$61-'Green+Social Interface'!$F$62))/'Green+Social Interface'!$U$11*100,-1)/10)*0.5)*'Green Infrastructure'!$E$30)),0)</f>
        <v>0</v>
      </c>
      <c r="AQ30" s="210">
        <f>IF('Green+Social Interface'!$U$11&gt;0,(($D$73*((ROUNDDOWN(($D$77-('Green+Social Interface'!$F$61-'Green+Social Interface'!$F$62))/'Green+Social Interface'!$U$11*100,-1)/10)*0.5)*'Green Infrastructure'!$E$30)),0)</f>
        <v>0</v>
      </c>
      <c r="AR30" s="210">
        <f>IF('Green+Social Interface'!$U$11&gt;0,(($D$73*((ROUNDDOWN(($D$77-('Green+Social Interface'!$F$61-'Green+Social Interface'!$F$62))/'Green+Social Interface'!$U$11*100,-1)/10)*0.5)*'Green Infrastructure'!$E$30)),0)</f>
        <v>0</v>
      </c>
      <c r="AS30" s="210">
        <f>IF('Green+Social Interface'!$U$11&gt;0,(($D$73*((ROUNDDOWN(($D$77-('Green+Social Interface'!$F$61-'Green+Social Interface'!$F$62))/'Green+Social Interface'!$U$11*100,-1)/10)*0.5)*'Green Infrastructure'!$E$30)),0)</f>
        <v>0</v>
      </c>
      <c r="AT30" s="210">
        <f>IF('Green+Social Interface'!$U$11&gt;0,(($D$73*((ROUNDDOWN(($D$77-('Green+Social Interface'!$F$61-'Green+Social Interface'!$F$62))/'Green+Social Interface'!$U$11*100,-1)/10)*0.5)*'Green Infrastructure'!$E$30)),0)</f>
        <v>0</v>
      </c>
      <c r="AU30" s="210">
        <f>IF('Green+Social Interface'!$U$11&gt;0,(($D$73*((ROUNDDOWN(($D$77-('Green+Social Interface'!$F$61-'Green+Social Interface'!$F$62))/'Green+Social Interface'!$U$11*100,-1)/10)*0.5)*'Green Infrastructure'!$E$30)),0)</f>
        <v>0</v>
      </c>
      <c r="AV30" s="210">
        <f>IF('Green+Social Interface'!$U$11&gt;0,(($D$73*((ROUNDDOWN(($D$77-('Green+Social Interface'!$F$61-'Green+Social Interface'!$F$62))/'Green+Social Interface'!$U$11*100,-1)/10)*0.5)*'Green Infrastructure'!$E$30)),0)</f>
        <v>0</v>
      </c>
      <c r="AW30" s="210">
        <f>IF('Green+Social Interface'!$U$11&gt;0,(($D$73*((ROUNDDOWN(($D$77-('Green+Social Interface'!$F$61-'Green+Social Interface'!$F$62))/'Green+Social Interface'!$U$11*100,-1)/10)*0.5)*'Green Infrastructure'!$E$30)),0)</f>
        <v>0</v>
      </c>
      <c r="AX30" s="210">
        <f>IF('Green+Social Interface'!$U$11&gt;0,(($D$73*((ROUNDDOWN(($D$77-('Green+Social Interface'!$F$61-'Green+Social Interface'!$F$62))/'Green+Social Interface'!$U$11*100,-1)/10)*0.5)*'Green Infrastructure'!$E$30)),0)</f>
        <v>0</v>
      </c>
      <c r="AY30" s="210">
        <f>IF('Green+Social Interface'!$U$11&gt;0,(($D$73*((ROUNDDOWN(($D$77-('Green+Social Interface'!$F$61-'Green+Social Interface'!$F$62))/'Green+Social Interface'!$U$11*100,-1)/10)*0.5)*'Green Infrastructure'!$E$30)),0)</f>
        <v>0</v>
      </c>
      <c r="AZ30" s="210">
        <f>IF('Green+Social Interface'!$U$11&gt;0,(($D$73*((ROUNDDOWN(($D$77-('Green+Social Interface'!$F$61-'Green+Social Interface'!$F$62))/'Green+Social Interface'!$U$11*100,-1)/10)*0.5)*'Green Infrastructure'!$E$30)),0)</f>
        <v>0</v>
      </c>
    </row>
    <row r="31" spans="2:52" x14ac:dyDescent="0.25">
      <c r="B31" s="208"/>
      <c r="C31" s="209" t="s">
        <v>269</v>
      </c>
      <c r="D31" s="209" t="s">
        <v>249</v>
      </c>
      <c r="E31" s="218" t="s">
        <v>1063</v>
      </c>
      <c r="F31" s="210"/>
      <c r="G31" s="211"/>
      <c r="H31" s="212"/>
      <c r="I31" s="213"/>
      <c r="J31" s="214">
        <f>IF(AND(K31&lt;&gt;0,$D$72&gt;0),K31/$D$72,0)</f>
        <v>0</v>
      </c>
      <c r="K31" s="214">
        <f t="shared" ref="K31:K32" si="29">AVERAGE(M31:AZ31)</f>
        <v>0</v>
      </c>
      <c r="L31" s="215">
        <f t="shared" ref="L31:L32" si="30">SUM(M31:AZ31)</f>
        <v>0</v>
      </c>
      <c r="M31" s="216">
        <f>M29*(('Green+Social Interface'!$Z$62*'Green+Social Interface'!$Z$65)*(1+0.0255))</f>
        <v>0</v>
      </c>
      <c r="N31" s="216">
        <f>N29*(('Green+Social Interface'!$Z$62*'Green+Social Interface'!$Z$65)*((1+0.0255+$D$74)^($N3-1)))</f>
        <v>0</v>
      </c>
      <c r="O31" s="216">
        <f>O29*(('Green+Social Interface'!$Z$62*'Green+Social Interface'!$Z$65)*((1+0.0255+$D$74)^($N3-1)))</f>
        <v>0</v>
      </c>
      <c r="P31" s="216">
        <f>P29*(('Green+Social Interface'!$Z$62*'Green+Social Interface'!$Z$65)*((1+0.0255+$D$74)^($N3-1)))</f>
        <v>0</v>
      </c>
      <c r="Q31" s="216">
        <f>Q29*(('Green+Social Interface'!$Z$62*'Green+Social Interface'!$Z$65)*((1+0.0255+$D$74)^($N3-1)))</f>
        <v>0</v>
      </c>
      <c r="R31" s="216">
        <f>R29*(('Green+Social Interface'!$Z$62*'Green+Social Interface'!$Z$65)*((1+0.0255+$D$74)^($N3-1)))</f>
        <v>0</v>
      </c>
      <c r="S31" s="216">
        <f>S29*(('Green+Social Interface'!$Z$62*'Green+Social Interface'!$Z$65)*((1+0.0255+$D$74)^($N3-1)))</f>
        <v>0</v>
      </c>
      <c r="T31" s="216">
        <f>T29*(('Green+Social Interface'!$Z$62*'Green+Social Interface'!$Z$65)*((1+0.0255+$D$74)^($N3-1)))</f>
        <v>0</v>
      </c>
      <c r="U31" s="216">
        <f>U29*(('Green+Social Interface'!$Z$62*'Green+Social Interface'!$Z$65)*((1+0.0255+$D$74)^($N3-1)))</f>
        <v>0</v>
      </c>
      <c r="V31" s="216">
        <f>V29*(('Green+Social Interface'!$Z$62*'Green+Social Interface'!$Z$65)*((1+0.0255+$D$74)^($N3-1)))</f>
        <v>0</v>
      </c>
      <c r="W31" s="216">
        <f>W29*(('Green+Social Interface'!$Z$62*'Green+Social Interface'!$Z$65)*((1+0.0255+$D$74)^($N3-1)))</f>
        <v>0</v>
      </c>
      <c r="X31" s="216">
        <f>X29*(('Green+Social Interface'!$Z$62*'Green+Social Interface'!$Z$65)*((1+0.0255+$D$74)^($N3-1)))</f>
        <v>0</v>
      </c>
      <c r="Y31" s="216">
        <f>Y29*(('Green+Social Interface'!$Z$62*'Green+Social Interface'!$Z$65)*((1+0.0255+$D$74)^($N3-1)))</f>
        <v>0</v>
      </c>
      <c r="Z31" s="216">
        <f>Z29*(('Green+Social Interface'!$Z$62*'Green+Social Interface'!$Z$65)*((1+0.0255+$D$74)^($N3-1)))</f>
        <v>0</v>
      </c>
      <c r="AA31" s="216">
        <f>AA29*(('Green+Social Interface'!$Z$62*'Green+Social Interface'!$Z$65)*((1+0.0255+$D$74)^($N3-1)))</f>
        <v>0</v>
      </c>
      <c r="AB31" s="216">
        <f>AB29*(('Green+Social Interface'!$Z$62*'Green+Social Interface'!$Z$65)*((1+0.0255+$D$74)^($N3-1)))</f>
        <v>0</v>
      </c>
      <c r="AC31" s="216">
        <f>AC29*(('Green+Social Interface'!$Z$62*'Green+Social Interface'!$Z$65)*((1+0.0255+$D$74)^($N3-1)))</f>
        <v>0</v>
      </c>
      <c r="AD31" s="216">
        <f>AD29*(('Green+Social Interface'!$Z$62*'Green+Social Interface'!$Z$65)*((1+0.0255+$D$74)^($N3-1)))</f>
        <v>0</v>
      </c>
      <c r="AE31" s="216">
        <f>AE29*(('Green+Social Interface'!$Z$62*'Green+Social Interface'!$Z$65)*((1+0.0255+$D$74)^($N3-1)))</f>
        <v>0</v>
      </c>
      <c r="AF31" s="216">
        <f>AF29*(('Green+Social Interface'!$Z$62*'Green+Social Interface'!$Z$65)*((1+0.0255+$D$74)^($N3-1)))</f>
        <v>0</v>
      </c>
      <c r="AG31" s="216">
        <f>AG29*(('Green+Social Interface'!$Z$62*'Green+Social Interface'!$Z$65)*((1+0.0255+$D$74)^($N3-1)))</f>
        <v>0</v>
      </c>
      <c r="AH31" s="216">
        <f>AH29*(('Green+Social Interface'!$Z$62*'Green+Social Interface'!$Z$65)*((1+0.0255+$D$74)^($N3-1)))</f>
        <v>0</v>
      </c>
      <c r="AI31" s="216">
        <f>AI29*(('Green+Social Interface'!$Z$62*'Green+Social Interface'!$Z$65)*((1+0.0255+$D$74)^($N3-1)))</f>
        <v>0</v>
      </c>
      <c r="AJ31" s="216">
        <f>AJ29*(('Green+Social Interface'!$Z$62*'Green+Social Interface'!$Z$65)*((1+0.0255+$D$74)^($N3-1)))</f>
        <v>0</v>
      </c>
      <c r="AK31" s="216">
        <f>AK29*(('Green+Social Interface'!$Z$62*'Green+Social Interface'!$Z$65)*((1+0.0255+$D$74)^($N3-1)))</f>
        <v>0</v>
      </c>
      <c r="AL31" s="216">
        <f>AL29*(('Green+Social Interface'!$Z$62*'Green+Social Interface'!$Z$65)*((1+0.0255+$D$74)^($N3-1)))</f>
        <v>0</v>
      </c>
      <c r="AM31" s="216">
        <f>AM29*(('Green+Social Interface'!$Z$62*'Green+Social Interface'!$Z$65)*((1+0.0255+$D$74)^($N3-1)))</f>
        <v>0</v>
      </c>
      <c r="AN31" s="216">
        <f>AN29*(('Green+Social Interface'!$Z$62*'Green+Social Interface'!$Z$65)*((1+0.0255+$D$74)^($N3-1)))</f>
        <v>0</v>
      </c>
      <c r="AO31" s="216">
        <f>AO29*(('Green+Social Interface'!$Z$62*'Green+Social Interface'!$Z$65)*((1+0.0255+$D$74)^($N3-1)))</f>
        <v>0</v>
      </c>
      <c r="AP31" s="216">
        <f>AP29*(('Green+Social Interface'!$Z$62*'Green+Social Interface'!$Z$65)*((1+0.0255+$D$74)^($N3-1)))</f>
        <v>0</v>
      </c>
      <c r="AQ31" s="216">
        <f>AQ29*(('Green+Social Interface'!$Z$62*'Green+Social Interface'!$Z$65)*((1+0.0255+$D$74)^($N3-1)))</f>
        <v>0</v>
      </c>
      <c r="AR31" s="216">
        <f>AR29*(('Green+Social Interface'!$Z$62*'Green+Social Interface'!$Z$65)*((1+0.0255+$D$74)^($N3-1)))</f>
        <v>0</v>
      </c>
      <c r="AS31" s="216">
        <f>AS29*(('Green+Social Interface'!$Z$62*'Green+Social Interface'!$Z$65)*((1+0.0255+$D$74)^($N3-1)))</f>
        <v>0</v>
      </c>
      <c r="AT31" s="216">
        <f>AT29*(('Green+Social Interface'!$Z$62*'Green+Social Interface'!$Z$65)*((1+0.0255+$D$74)^($N3-1)))</f>
        <v>0</v>
      </c>
      <c r="AU31" s="216">
        <f>AU29*(('Green+Social Interface'!$Z$62*'Green+Social Interface'!$Z$65)*((1+0.0255+$D$74)^($N3-1)))</f>
        <v>0</v>
      </c>
      <c r="AV31" s="216">
        <f>AV29*(('Green+Social Interface'!$Z$62*'Green+Social Interface'!$Z$65)*((1+0.0255+$D$74)^($N3-1)))</f>
        <v>0</v>
      </c>
      <c r="AW31" s="216">
        <f>AW29*(('Green+Social Interface'!$Z$62*'Green+Social Interface'!$Z$65)*((1+0.0255+$D$74)^($N3-1)))</f>
        <v>0</v>
      </c>
      <c r="AX31" s="216">
        <f>AX29*(('Green+Social Interface'!$Z$62*'Green+Social Interface'!$Z$65)*((1+0.0255+$D$74)^($N3-1)))</f>
        <v>0</v>
      </c>
      <c r="AY31" s="216">
        <f>AY29*(('Green+Social Interface'!$Z$62*'Green+Social Interface'!$Z$65)*((1+0.0255+$D$74)^($N3-1)))</f>
        <v>0</v>
      </c>
      <c r="AZ31" s="216">
        <f>AZ29*(('Green+Social Interface'!$Z$62*'Green+Social Interface'!$Z$65)*((1+0.0255+$D$74)^($N3-1)))</f>
        <v>0</v>
      </c>
    </row>
    <row r="32" spans="2:52" x14ac:dyDescent="0.25">
      <c r="B32" s="208"/>
      <c r="C32" s="209" t="s">
        <v>270</v>
      </c>
      <c r="D32" s="209" t="s">
        <v>66</v>
      </c>
      <c r="E32" s="218" t="s">
        <v>1063</v>
      </c>
      <c r="F32" s="210"/>
      <c r="G32" s="211"/>
      <c r="H32" s="212"/>
      <c r="I32" s="213"/>
      <c r="J32" s="214">
        <f>IF(AND(K32&lt;&gt;0,$D$72&gt;0),K32/$D$72,0)</f>
        <v>0</v>
      </c>
      <c r="K32" s="214">
        <f t="shared" si="29"/>
        <v>0</v>
      </c>
      <c r="L32" s="215">
        <f t="shared" si="30"/>
        <v>0</v>
      </c>
      <c r="M32" s="216">
        <f>M30*(('Green+Social Interface'!$Z$62*'Green+Social Interface'!$Z$65)*(1+0.0255))</f>
        <v>0</v>
      </c>
      <c r="N32" s="216">
        <f>N30*(('Green+Social Interface'!$Z$62*'Green+Social Interface'!$Z$65)*((1+0.0255+$D$74)^(N$3-1)))</f>
        <v>0</v>
      </c>
      <c r="O32" s="216">
        <f>O30*(('Green+Social Interface'!$Z$62*'Green+Social Interface'!$Z$65)*((1+0.0255+$D$74)^(O$3-1)))</f>
        <v>0</v>
      </c>
      <c r="P32" s="216">
        <f>P30*(('Green+Social Interface'!$Z$62*'Green+Social Interface'!$Z$65)*((1+0.0255+$D$74)^(P$3-1)))</f>
        <v>0</v>
      </c>
      <c r="Q32" s="216">
        <f>Q30*(('Green+Social Interface'!$Z$62*'Green+Social Interface'!$Z$65)*((1+0.0255+$D$74)^(Q$3-1)))</f>
        <v>0</v>
      </c>
      <c r="R32" s="216">
        <f>R30*(('Green+Social Interface'!$Z$62*'Green+Social Interface'!$Z$65)*((1+0.0255+$D$74)^(R$3-1)))</f>
        <v>0</v>
      </c>
      <c r="S32" s="216">
        <f>S30*(('Green+Social Interface'!$Z$62*'Green+Social Interface'!$Z$65)*((1+0.0255+$D$74)^(S$3-1)))</f>
        <v>0</v>
      </c>
      <c r="T32" s="216">
        <f>T30*(('Green+Social Interface'!$Z$62*'Green+Social Interface'!$Z$65)*((1+0.0255+$D$74)^(T$3-1)))</f>
        <v>0</v>
      </c>
      <c r="U32" s="216">
        <f>U30*(('Green+Social Interface'!$Z$62*'Green+Social Interface'!$Z$65)*((1+0.0255+$D$74)^(U$3-1)))</f>
        <v>0</v>
      </c>
      <c r="V32" s="216">
        <f>V30*(('Green+Social Interface'!$Z$62*'Green+Social Interface'!$Z$65)*((1+0.0255+$D$74)^(V$3-1)))</f>
        <v>0</v>
      </c>
      <c r="W32" s="216">
        <f>W30*(('Green+Social Interface'!$Z$62*'Green+Social Interface'!$Z$65)*((1+0.0255+$D$74)^(W$3-1)))</f>
        <v>0</v>
      </c>
      <c r="X32" s="216">
        <f>X30*(('Green+Social Interface'!$Z$62*'Green+Social Interface'!$Z$65)*((1+0.0255+$D$74)^(X$3-1)))</f>
        <v>0</v>
      </c>
      <c r="Y32" s="216">
        <f>Y30*(('Green+Social Interface'!$Z$62*'Green+Social Interface'!$Z$65)*((1+0.0255+$D$74)^(Y$3-1)))</f>
        <v>0</v>
      </c>
      <c r="Z32" s="216">
        <f>Z30*(('Green+Social Interface'!$Z$62*'Green+Social Interface'!$Z$65)*((1+0.0255+$D$74)^(Z$3-1)))</f>
        <v>0</v>
      </c>
      <c r="AA32" s="216">
        <f>AA30*(('Green+Social Interface'!$Z$62*'Green+Social Interface'!$Z$65)*((1+0.0255+$D$74)^(AA$3-1)))</f>
        <v>0</v>
      </c>
      <c r="AB32" s="216">
        <f>AB30*(('Green+Social Interface'!$Z$62*'Green+Social Interface'!$Z$65)*((1+0.0255+$D$74)^(AB$3-1)))</f>
        <v>0</v>
      </c>
      <c r="AC32" s="216">
        <f>AC30*(('Green+Social Interface'!$Z$62*'Green+Social Interface'!$Z$65)*((1+0.0255+$D$74)^(AC$3-1)))</f>
        <v>0</v>
      </c>
      <c r="AD32" s="216">
        <f>AD30*(('Green+Social Interface'!$Z$62*'Green+Social Interface'!$Z$65)*((1+0.0255+$D$74)^(AD$3-1)))</f>
        <v>0</v>
      </c>
      <c r="AE32" s="216">
        <f>AE30*(('Green+Social Interface'!$Z$62*'Green+Social Interface'!$Z$65)*((1+0.0255+$D$74)^(AE$3-1)))</f>
        <v>0</v>
      </c>
      <c r="AF32" s="216">
        <f>AF30*(('Green+Social Interface'!$Z$62*'Green+Social Interface'!$Z$65)*((1+0.0255+$D$74)^(AF$3-1)))</f>
        <v>0</v>
      </c>
      <c r="AG32" s="216">
        <f>AG30*(('Green+Social Interface'!$Z$62*'Green+Social Interface'!$Z$65)*((1+0.0255+$D$74)^(AG$3-1)))</f>
        <v>0</v>
      </c>
      <c r="AH32" s="216">
        <f>AH30*(('Green+Social Interface'!$Z$62*'Green+Social Interface'!$Z$65)*((1+0.0255+$D$74)^(AH$3-1)))</f>
        <v>0</v>
      </c>
      <c r="AI32" s="216">
        <f>AI30*(('Green+Social Interface'!$Z$62*'Green+Social Interface'!$Z$65)*((1+0.0255+$D$74)^(AI$3-1)))</f>
        <v>0</v>
      </c>
      <c r="AJ32" s="216">
        <f>AJ30*(('Green+Social Interface'!$Z$62*'Green+Social Interface'!$Z$65)*((1+0.0255+$D$74)^(AJ$3-1)))</f>
        <v>0</v>
      </c>
      <c r="AK32" s="216">
        <f>AK30*(('Green+Social Interface'!$Z$62*'Green+Social Interface'!$Z$65)*((1+0.0255+$D$74)^(AK$3-1)))</f>
        <v>0</v>
      </c>
      <c r="AL32" s="216">
        <f>AL30*(('Green+Social Interface'!$Z$62*'Green+Social Interface'!$Z$65)*((1+0.0255+$D$74)^(AL$3-1)))</f>
        <v>0</v>
      </c>
      <c r="AM32" s="216">
        <f>AM30*(('Green+Social Interface'!$Z$62*'Green+Social Interface'!$Z$65)*((1+0.0255+$D$74)^(AM$3-1)))</f>
        <v>0</v>
      </c>
      <c r="AN32" s="216">
        <f>AN30*(('Green+Social Interface'!$Z$62*'Green+Social Interface'!$Z$65)*((1+0.0255+$D$74)^(AN$3-1)))</f>
        <v>0</v>
      </c>
      <c r="AO32" s="216">
        <f>AO30*(('Green+Social Interface'!$Z$62*'Green+Social Interface'!$Z$65)*((1+0.0255+$D$74)^(AO$3-1)))</f>
        <v>0</v>
      </c>
      <c r="AP32" s="216">
        <f>AP30*(('Green+Social Interface'!$Z$62*'Green+Social Interface'!$Z$65)*((1+0.0255+$D$74)^(AP$3-1)))</f>
        <v>0</v>
      </c>
      <c r="AQ32" s="216">
        <f>AQ30*(('Green+Social Interface'!$Z$62*'Green+Social Interface'!$Z$65)*((1+0.0255+$D$74)^(AQ$3-1)))</f>
        <v>0</v>
      </c>
      <c r="AR32" s="216">
        <f>AR30*(('Green+Social Interface'!$Z$62*'Green+Social Interface'!$Z$65)*((1+0.0255+$D$74)^(AR$3-1)))</f>
        <v>0</v>
      </c>
      <c r="AS32" s="216">
        <f>AS30*(('Green+Social Interface'!$Z$62*'Green+Social Interface'!$Z$65)*((1+0.0255+$D$74)^(AS$3-1)))</f>
        <v>0</v>
      </c>
      <c r="AT32" s="216">
        <f>AT30*(('Green+Social Interface'!$Z$62*'Green+Social Interface'!$Z$65)*((1+0.0255+$D$74)^(AT$3-1)))</f>
        <v>0</v>
      </c>
      <c r="AU32" s="216">
        <f>AU30*(('Green+Social Interface'!$Z$62*'Green+Social Interface'!$Z$65)*((1+0.0255+$D$74)^(AU$3-1)))</f>
        <v>0</v>
      </c>
      <c r="AV32" s="216">
        <f>AV30*(('Green+Social Interface'!$Z$62*'Green+Social Interface'!$Z$65)*((1+0.0255+$D$74)^(AV$3-1)))</f>
        <v>0</v>
      </c>
      <c r="AW32" s="216">
        <f>AW30*(('Green+Social Interface'!$Z$62*'Green+Social Interface'!$Z$65)*((1+0.0255+$D$74)^(AW$3-1)))</f>
        <v>0</v>
      </c>
      <c r="AX32" s="216">
        <f>AX30*(('Green+Social Interface'!$Z$62*'Green+Social Interface'!$Z$65)*((1+0.0255+$D$74)^(AX$3-1)))</f>
        <v>0</v>
      </c>
      <c r="AY32" s="216">
        <f>AY30*(('Green+Social Interface'!$Z$62*'Green+Social Interface'!$Z$65)*((1+0.0255+$D$74)^(AY$3-1)))</f>
        <v>0</v>
      </c>
      <c r="AZ32" s="216">
        <f>AZ30*(('Green+Social Interface'!$Z$62*'Green+Social Interface'!$Z$65)*((1+0.0255+$D$74)^(AZ$3-1)))</f>
        <v>0</v>
      </c>
    </row>
    <row r="33" spans="2:52" x14ac:dyDescent="0.25">
      <c r="B33" s="316" t="s">
        <v>401</v>
      </c>
      <c r="C33" s="232"/>
      <c r="D33" s="232"/>
      <c r="E33" s="233"/>
      <c r="F33" s="234"/>
      <c r="G33" s="235"/>
      <c r="H33" s="236"/>
      <c r="I33" s="237"/>
      <c r="J33" s="238"/>
      <c r="K33" s="238"/>
      <c r="L33" s="239"/>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row>
    <row r="34" spans="2:52" x14ac:dyDescent="0.25">
      <c r="B34" s="358" t="s">
        <v>1058</v>
      </c>
      <c r="C34" s="232" t="s">
        <v>1040</v>
      </c>
      <c r="D34" s="232" t="s">
        <v>66</v>
      </c>
      <c r="E34" s="233">
        <v>353.67149999999998</v>
      </c>
      <c r="F34" s="241">
        <f>E34*VLOOKUP('Green+Social Interface'!$I$38,'Look-ups'!$A$15:$B$43,2,0)</f>
        <v>378.42850499999997</v>
      </c>
      <c r="G34" s="361" t="s">
        <v>402</v>
      </c>
      <c r="H34" s="236"/>
      <c r="I34" s="237"/>
      <c r="J34" s="238">
        <f>IF(AND(K34&gt;0,$D$72&gt;0),K34/$D$72,0)</f>
        <v>0</v>
      </c>
      <c r="K34" s="238">
        <f t="shared" si="13"/>
        <v>0</v>
      </c>
      <c r="L34" s="239">
        <f t="shared" si="14"/>
        <v>0</v>
      </c>
      <c r="M34" s="240">
        <f>(((0.25/10^6)*(('Green Infrastructure'!$F$34*VLOOKUP('Green+Social Interface'!$D$39,'Look-ups_2'!$B$4:$E$114,4,0))))*D75)*0.25</f>
        <v>0</v>
      </c>
      <c r="N34" s="240">
        <f>IF(M34&lt;&gt;0,M34*(1+$D$74),0)</f>
        <v>0</v>
      </c>
      <c r="O34" s="240">
        <f t="shared" ref="O34:AZ34" si="31">IF(N34&lt;&gt;0,N34*(1+$D$74),0)</f>
        <v>0</v>
      </c>
      <c r="P34" s="240">
        <f t="shared" si="31"/>
        <v>0</v>
      </c>
      <c r="Q34" s="240">
        <f t="shared" si="31"/>
        <v>0</v>
      </c>
      <c r="R34" s="240">
        <f>(IF(Q34&lt;&gt;0,Q34*(1+$D$74),0))*2</f>
        <v>0</v>
      </c>
      <c r="S34" s="240">
        <f t="shared" si="31"/>
        <v>0</v>
      </c>
      <c r="T34" s="240">
        <f t="shared" si="31"/>
        <v>0</v>
      </c>
      <c r="U34" s="240">
        <f t="shared" si="31"/>
        <v>0</v>
      </c>
      <c r="V34" s="240">
        <f t="shared" si="31"/>
        <v>0</v>
      </c>
      <c r="W34" s="240">
        <f>(IF(V34&lt;&gt;0,V34*(1+$D$74),0))*1.5</f>
        <v>0</v>
      </c>
      <c r="X34" s="240">
        <f t="shared" si="31"/>
        <v>0</v>
      </c>
      <c r="Y34" s="240">
        <f t="shared" si="31"/>
        <v>0</v>
      </c>
      <c r="Z34" s="240">
        <f t="shared" si="31"/>
        <v>0</v>
      </c>
      <c r="AA34" s="240">
        <f t="shared" si="31"/>
        <v>0</v>
      </c>
      <c r="AB34" s="240">
        <f t="shared" si="31"/>
        <v>0</v>
      </c>
      <c r="AC34" s="240">
        <f t="shared" si="31"/>
        <v>0</v>
      </c>
      <c r="AD34" s="240">
        <f t="shared" si="31"/>
        <v>0</v>
      </c>
      <c r="AE34" s="240">
        <f t="shared" si="31"/>
        <v>0</v>
      </c>
      <c r="AF34" s="240">
        <f t="shared" si="31"/>
        <v>0</v>
      </c>
      <c r="AG34" s="240">
        <f>(IF(AF34&lt;&gt;0,AF34*(1+$D$74),0))*1.33333</f>
        <v>0</v>
      </c>
      <c r="AH34" s="240">
        <f t="shared" si="31"/>
        <v>0</v>
      </c>
      <c r="AI34" s="240">
        <f t="shared" si="31"/>
        <v>0</v>
      </c>
      <c r="AJ34" s="240">
        <f t="shared" si="31"/>
        <v>0</v>
      </c>
      <c r="AK34" s="240">
        <f t="shared" si="31"/>
        <v>0</v>
      </c>
      <c r="AL34" s="240">
        <f t="shared" si="31"/>
        <v>0</v>
      </c>
      <c r="AM34" s="240">
        <f t="shared" si="31"/>
        <v>0</v>
      </c>
      <c r="AN34" s="240">
        <f t="shared" si="31"/>
        <v>0</v>
      </c>
      <c r="AO34" s="240">
        <f t="shared" si="31"/>
        <v>0</v>
      </c>
      <c r="AP34" s="240">
        <f t="shared" si="31"/>
        <v>0</v>
      </c>
      <c r="AQ34" s="240">
        <f t="shared" si="31"/>
        <v>0</v>
      </c>
      <c r="AR34" s="240">
        <f t="shared" si="31"/>
        <v>0</v>
      </c>
      <c r="AS34" s="240">
        <f t="shared" si="31"/>
        <v>0</v>
      </c>
      <c r="AT34" s="240">
        <f t="shared" si="31"/>
        <v>0</v>
      </c>
      <c r="AU34" s="240">
        <f t="shared" si="31"/>
        <v>0</v>
      </c>
      <c r="AV34" s="240">
        <f t="shared" si="31"/>
        <v>0</v>
      </c>
      <c r="AW34" s="240">
        <f t="shared" si="31"/>
        <v>0</v>
      </c>
      <c r="AX34" s="240">
        <f t="shared" si="31"/>
        <v>0</v>
      </c>
      <c r="AY34" s="240">
        <f t="shared" si="31"/>
        <v>0</v>
      </c>
      <c r="AZ34" s="240">
        <f t="shared" si="31"/>
        <v>0</v>
      </c>
    </row>
    <row r="35" spans="2:52" x14ac:dyDescent="0.25">
      <c r="B35" s="231"/>
      <c r="C35" s="232" t="s">
        <v>855</v>
      </c>
      <c r="D35" s="232" t="s">
        <v>66</v>
      </c>
      <c r="E35" s="233">
        <v>353.67149999999998</v>
      </c>
      <c r="F35" s="241">
        <f>E35*VLOOKUP('Green+Social Interface'!$I$38,'Look-ups'!$A$15:$B$43,2,0)</f>
        <v>378.42850499999997</v>
      </c>
      <c r="G35" s="235"/>
      <c r="H35" s="236"/>
      <c r="I35" s="237"/>
      <c r="J35" s="284">
        <f>IF(AND(K35&gt;0,$D$72&gt;0),K35/$D$72,0)</f>
        <v>0</v>
      </c>
      <c r="K35" s="238">
        <f t="shared" si="13"/>
        <v>0</v>
      </c>
      <c r="L35" s="239">
        <f t="shared" si="14"/>
        <v>0</v>
      </c>
      <c r="M35" s="240">
        <f>((0.00649373798747598/15)*(('Green Infrastructure'!$F$35*VLOOKUP('Green+Social Interface'!$D$39,'Look-ups_2'!$B$4:$E$114,4,0))/(10000)))*D82</f>
        <v>0</v>
      </c>
      <c r="N35" s="240">
        <f>IF(M35&gt;0,M35*(1+$D$74),0)</f>
        <v>0</v>
      </c>
      <c r="O35" s="240">
        <f t="shared" ref="O35:AZ35" si="32">IF(N35&gt;0,N35*(1+$D$74),0)</f>
        <v>0</v>
      </c>
      <c r="P35" s="240">
        <f t="shared" si="32"/>
        <v>0</v>
      </c>
      <c r="Q35" s="240">
        <f t="shared" si="32"/>
        <v>0</v>
      </c>
      <c r="R35" s="240">
        <f t="shared" si="32"/>
        <v>0</v>
      </c>
      <c r="S35" s="240">
        <f t="shared" si="32"/>
        <v>0</v>
      </c>
      <c r="T35" s="240">
        <f t="shared" si="32"/>
        <v>0</v>
      </c>
      <c r="U35" s="240">
        <f t="shared" si="32"/>
        <v>0</v>
      </c>
      <c r="V35" s="240">
        <f t="shared" si="32"/>
        <v>0</v>
      </c>
      <c r="W35" s="240">
        <f t="shared" si="32"/>
        <v>0</v>
      </c>
      <c r="X35" s="240">
        <f t="shared" si="32"/>
        <v>0</v>
      </c>
      <c r="Y35" s="240">
        <f t="shared" si="32"/>
        <v>0</v>
      </c>
      <c r="Z35" s="240">
        <f t="shared" si="32"/>
        <v>0</v>
      </c>
      <c r="AA35" s="240">
        <f t="shared" si="32"/>
        <v>0</v>
      </c>
      <c r="AB35" s="240">
        <f t="shared" si="32"/>
        <v>0</v>
      </c>
      <c r="AC35" s="240">
        <f t="shared" si="32"/>
        <v>0</v>
      </c>
      <c r="AD35" s="240">
        <f t="shared" si="32"/>
        <v>0</v>
      </c>
      <c r="AE35" s="240">
        <f t="shared" si="32"/>
        <v>0</v>
      </c>
      <c r="AF35" s="240">
        <f t="shared" si="32"/>
        <v>0</v>
      </c>
      <c r="AG35" s="240">
        <f t="shared" si="32"/>
        <v>0</v>
      </c>
      <c r="AH35" s="240">
        <f t="shared" si="32"/>
        <v>0</v>
      </c>
      <c r="AI35" s="240">
        <f t="shared" si="32"/>
        <v>0</v>
      </c>
      <c r="AJ35" s="240">
        <f t="shared" si="32"/>
        <v>0</v>
      </c>
      <c r="AK35" s="240">
        <f t="shared" si="32"/>
        <v>0</v>
      </c>
      <c r="AL35" s="240">
        <f t="shared" si="32"/>
        <v>0</v>
      </c>
      <c r="AM35" s="240">
        <f t="shared" si="32"/>
        <v>0</v>
      </c>
      <c r="AN35" s="240">
        <f t="shared" si="32"/>
        <v>0</v>
      </c>
      <c r="AO35" s="240">
        <f t="shared" si="32"/>
        <v>0</v>
      </c>
      <c r="AP35" s="240">
        <f t="shared" si="32"/>
        <v>0</v>
      </c>
      <c r="AQ35" s="240">
        <f t="shared" si="32"/>
        <v>0</v>
      </c>
      <c r="AR35" s="240">
        <f t="shared" si="32"/>
        <v>0</v>
      </c>
      <c r="AS35" s="240">
        <f t="shared" si="32"/>
        <v>0</v>
      </c>
      <c r="AT35" s="240">
        <f t="shared" si="32"/>
        <v>0</v>
      </c>
      <c r="AU35" s="240">
        <f t="shared" si="32"/>
        <v>0</v>
      </c>
      <c r="AV35" s="240">
        <f t="shared" si="32"/>
        <v>0</v>
      </c>
      <c r="AW35" s="240">
        <f t="shared" si="32"/>
        <v>0</v>
      </c>
      <c r="AX35" s="240">
        <f t="shared" si="32"/>
        <v>0</v>
      </c>
      <c r="AY35" s="240">
        <f t="shared" si="32"/>
        <v>0</v>
      </c>
      <c r="AZ35" s="240">
        <f t="shared" si="32"/>
        <v>0</v>
      </c>
    </row>
    <row r="36" spans="2:52" x14ac:dyDescent="0.25">
      <c r="B36" s="24"/>
      <c r="C36" s="25"/>
      <c r="D36" s="25"/>
      <c r="E36" s="34"/>
      <c r="F36" s="27"/>
      <c r="G36" s="31"/>
      <c r="H36" s="21"/>
      <c r="I36" s="22"/>
      <c r="J36" s="32"/>
      <c r="K36" s="32"/>
      <c r="L36" s="152"/>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c r="AU36" s="33"/>
      <c r="AV36" s="33"/>
      <c r="AW36" s="33"/>
      <c r="AX36" s="33"/>
      <c r="AY36" s="33"/>
      <c r="AZ36" s="33"/>
    </row>
    <row r="37" spans="2:52" x14ac:dyDescent="0.25">
      <c r="B37" s="359" t="s">
        <v>1059</v>
      </c>
      <c r="C37" s="360" t="s">
        <v>1060</v>
      </c>
      <c r="D37" s="25"/>
      <c r="E37" s="34"/>
      <c r="F37" s="27"/>
      <c r="G37" s="31"/>
      <c r="H37" s="21"/>
      <c r="I37" s="22"/>
      <c r="J37" s="32"/>
      <c r="K37" s="32"/>
      <c r="L37" s="152"/>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c r="AU37" s="33"/>
      <c r="AV37" s="33"/>
      <c r="AW37" s="33"/>
      <c r="AX37" s="33"/>
      <c r="AY37" s="33"/>
      <c r="AZ37" s="33"/>
    </row>
    <row r="38" spans="2:52" x14ac:dyDescent="0.25">
      <c r="B38" s="24"/>
      <c r="C38" s="25"/>
      <c r="D38" s="25"/>
      <c r="E38" s="34"/>
      <c r="F38" s="27"/>
      <c r="G38" s="31"/>
      <c r="H38" s="21"/>
      <c r="I38" s="22"/>
      <c r="J38" s="32"/>
      <c r="K38" s="32"/>
      <c r="L38" s="152"/>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c r="AU38" s="33"/>
      <c r="AV38" s="33"/>
      <c r="AW38" s="33"/>
      <c r="AX38" s="33"/>
      <c r="AY38" s="33"/>
      <c r="AZ38" s="33"/>
    </row>
    <row r="39" spans="2:52" x14ac:dyDescent="0.25">
      <c r="B39" s="24"/>
      <c r="C39" s="25"/>
      <c r="D39" s="25"/>
      <c r="E39" s="34"/>
      <c r="F39" s="27"/>
      <c r="G39" s="31"/>
      <c r="H39" s="21"/>
      <c r="I39" s="22"/>
      <c r="J39" s="32"/>
      <c r="K39" s="32"/>
      <c r="L39" s="152"/>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c r="AU39" s="33"/>
      <c r="AV39" s="33"/>
      <c r="AW39" s="33"/>
      <c r="AX39" s="33"/>
      <c r="AY39" s="33"/>
      <c r="AZ39" s="33"/>
    </row>
    <row r="40" spans="2:52" x14ac:dyDescent="0.25">
      <c r="B40" s="35"/>
      <c r="C40" s="36"/>
      <c r="D40" s="36"/>
      <c r="E40" s="37"/>
      <c r="F40" s="38"/>
      <c r="G40" s="39"/>
      <c r="H40" s="21"/>
      <c r="I40" s="22"/>
      <c r="J40" s="70"/>
      <c r="K40" s="70"/>
      <c r="L40" s="153"/>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row>
    <row r="41" spans="2:52" x14ac:dyDescent="0.25">
      <c r="B41" s="41" t="s">
        <v>78</v>
      </c>
      <c r="C41" s="42"/>
      <c r="D41" s="42" t="s">
        <v>79</v>
      </c>
      <c r="E41" s="43"/>
      <c r="F41" s="44"/>
      <c r="G41" s="45"/>
      <c r="H41" s="46"/>
      <c r="I41" s="3"/>
      <c r="J41" s="163"/>
      <c r="K41" s="163"/>
      <c r="L41" s="48"/>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8"/>
    </row>
    <row r="42" spans="2:52" x14ac:dyDescent="0.25">
      <c r="B42" s="49" t="s">
        <v>282</v>
      </c>
      <c r="C42" s="50" t="s">
        <v>66</v>
      </c>
      <c r="D42" s="50"/>
      <c r="E42" s="51"/>
      <c r="F42" s="52"/>
      <c r="G42" s="53"/>
      <c r="H42" s="54"/>
      <c r="I42" s="2"/>
      <c r="J42" s="223">
        <f t="shared" ref="J42:J50" si="33">IF(AND(K42&lt;&gt;0,$D$72&gt;0),K42/$D$72,0)</f>
        <v>0</v>
      </c>
      <c r="K42" s="222">
        <f>K21</f>
        <v>0</v>
      </c>
      <c r="L42" s="222">
        <f t="shared" ref="L42:AZ42" si="34">L21</f>
        <v>0</v>
      </c>
      <c r="M42" s="456">
        <f>M21</f>
        <v>0</v>
      </c>
      <c r="N42" s="457">
        <f t="shared" si="34"/>
        <v>0</v>
      </c>
      <c r="O42" s="457">
        <f t="shared" si="34"/>
        <v>0</v>
      </c>
      <c r="P42" s="457">
        <f t="shared" si="34"/>
        <v>0</v>
      </c>
      <c r="Q42" s="457">
        <f t="shared" si="34"/>
        <v>0</v>
      </c>
      <c r="R42" s="457">
        <f t="shared" si="34"/>
        <v>0</v>
      </c>
      <c r="S42" s="457">
        <f t="shared" si="34"/>
        <v>0</v>
      </c>
      <c r="T42" s="457">
        <f t="shared" si="34"/>
        <v>0</v>
      </c>
      <c r="U42" s="457">
        <f t="shared" si="34"/>
        <v>0</v>
      </c>
      <c r="V42" s="457">
        <f t="shared" si="34"/>
        <v>0</v>
      </c>
      <c r="W42" s="457">
        <f t="shared" si="34"/>
        <v>0</v>
      </c>
      <c r="X42" s="457">
        <f t="shared" si="34"/>
        <v>0</v>
      </c>
      <c r="Y42" s="457">
        <f t="shared" si="34"/>
        <v>0</v>
      </c>
      <c r="Z42" s="457">
        <f t="shared" si="34"/>
        <v>0</v>
      </c>
      <c r="AA42" s="457">
        <f t="shared" si="34"/>
        <v>0</v>
      </c>
      <c r="AB42" s="457">
        <f t="shared" si="34"/>
        <v>0</v>
      </c>
      <c r="AC42" s="457">
        <f t="shared" si="34"/>
        <v>0</v>
      </c>
      <c r="AD42" s="457">
        <f t="shared" si="34"/>
        <v>0</v>
      </c>
      <c r="AE42" s="457">
        <f t="shared" si="34"/>
        <v>0</v>
      </c>
      <c r="AF42" s="457">
        <f t="shared" si="34"/>
        <v>0</v>
      </c>
      <c r="AG42" s="457">
        <f t="shared" si="34"/>
        <v>0</v>
      </c>
      <c r="AH42" s="457">
        <f t="shared" si="34"/>
        <v>0</v>
      </c>
      <c r="AI42" s="457">
        <f t="shared" si="34"/>
        <v>0</v>
      </c>
      <c r="AJ42" s="457">
        <f t="shared" si="34"/>
        <v>0</v>
      </c>
      <c r="AK42" s="457">
        <f t="shared" si="34"/>
        <v>0</v>
      </c>
      <c r="AL42" s="457">
        <f t="shared" si="34"/>
        <v>0</v>
      </c>
      <c r="AM42" s="457">
        <f t="shared" si="34"/>
        <v>0</v>
      </c>
      <c r="AN42" s="457">
        <f t="shared" si="34"/>
        <v>0</v>
      </c>
      <c r="AO42" s="457">
        <f t="shared" si="34"/>
        <v>0</v>
      </c>
      <c r="AP42" s="457">
        <f t="shared" si="34"/>
        <v>0</v>
      </c>
      <c r="AQ42" s="457">
        <f t="shared" si="34"/>
        <v>0</v>
      </c>
      <c r="AR42" s="457">
        <f t="shared" si="34"/>
        <v>0</v>
      </c>
      <c r="AS42" s="457">
        <f t="shared" si="34"/>
        <v>0</v>
      </c>
      <c r="AT42" s="457">
        <f t="shared" si="34"/>
        <v>0</v>
      </c>
      <c r="AU42" s="457">
        <f t="shared" si="34"/>
        <v>0</v>
      </c>
      <c r="AV42" s="457">
        <f t="shared" si="34"/>
        <v>0</v>
      </c>
      <c r="AW42" s="457">
        <f t="shared" si="34"/>
        <v>0</v>
      </c>
      <c r="AX42" s="457">
        <f t="shared" si="34"/>
        <v>0</v>
      </c>
      <c r="AY42" s="457">
        <f t="shared" si="34"/>
        <v>0</v>
      </c>
      <c r="AZ42" s="458">
        <f t="shared" si="34"/>
        <v>0</v>
      </c>
    </row>
    <row r="43" spans="2:52" x14ac:dyDescent="0.25">
      <c r="B43" s="459" t="s">
        <v>1105</v>
      </c>
      <c r="C43" s="460" t="s">
        <v>66</v>
      </c>
      <c r="D43" s="460"/>
      <c r="E43" s="461"/>
      <c r="F43" s="462"/>
      <c r="G43" s="225"/>
      <c r="H43" s="300"/>
      <c r="I43" s="2"/>
      <c r="J43" s="223">
        <f t="shared" si="33"/>
        <v>0</v>
      </c>
      <c r="K43" s="222">
        <f>AVERAGE(M43:AZ43)</f>
        <v>0</v>
      </c>
      <c r="L43" s="463">
        <f>SUM(M43:AZ43)</f>
        <v>0</v>
      </c>
      <c r="M43" s="464">
        <f>M29+M30</f>
        <v>0</v>
      </c>
      <c r="N43" s="464">
        <f t="shared" ref="N43:AZ43" si="35">N29+N30</f>
        <v>0</v>
      </c>
      <c r="O43" s="464">
        <f t="shared" si="35"/>
        <v>0</v>
      </c>
      <c r="P43" s="464">
        <f t="shared" si="35"/>
        <v>0</v>
      </c>
      <c r="Q43" s="464">
        <f t="shared" si="35"/>
        <v>0</v>
      </c>
      <c r="R43" s="464">
        <f t="shared" si="35"/>
        <v>0</v>
      </c>
      <c r="S43" s="464">
        <f t="shared" si="35"/>
        <v>0</v>
      </c>
      <c r="T43" s="464">
        <f t="shared" si="35"/>
        <v>0</v>
      </c>
      <c r="U43" s="464">
        <f t="shared" si="35"/>
        <v>0</v>
      </c>
      <c r="V43" s="464">
        <f t="shared" si="35"/>
        <v>0</v>
      </c>
      <c r="W43" s="464">
        <f t="shared" si="35"/>
        <v>0</v>
      </c>
      <c r="X43" s="464">
        <f t="shared" si="35"/>
        <v>0</v>
      </c>
      <c r="Y43" s="464">
        <f t="shared" si="35"/>
        <v>0</v>
      </c>
      <c r="Z43" s="464">
        <f t="shared" si="35"/>
        <v>0</v>
      </c>
      <c r="AA43" s="464">
        <f t="shared" si="35"/>
        <v>0</v>
      </c>
      <c r="AB43" s="464">
        <f t="shared" si="35"/>
        <v>0</v>
      </c>
      <c r="AC43" s="464">
        <f t="shared" si="35"/>
        <v>0</v>
      </c>
      <c r="AD43" s="464">
        <f t="shared" si="35"/>
        <v>0</v>
      </c>
      <c r="AE43" s="464">
        <f t="shared" si="35"/>
        <v>0</v>
      </c>
      <c r="AF43" s="464">
        <f t="shared" si="35"/>
        <v>0</v>
      </c>
      <c r="AG43" s="464">
        <f t="shared" si="35"/>
        <v>0</v>
      </c>
      <c r="AH43" s="464">
        <f t="shared" si="35"/>
        <v>0</v>
      </c>
      <c r="AI43" s="464">
        <f t="shared" si="35"/>
        <v>0</v>
      </c>
      <c r="AJ43" s="464">
        <f t="shared" si="35"/>
        <v>0</v>
      </c>
      <c r="AK43" s="464">
        <f t="shared" si="35"/>
        <v>0</v>
      </c>
      <c r="AL43" s="464">
        <f t="shared" si="35"/>
        <v>0</v>
      </c>
      <c r="AM43" s="464">
        <f t="shared" si="35"/>
        <v>0</v>
      </c>
      <c r="AN43" s="464">
        <f t="shared" si="35"/>
        <v>0</v>
      </c>
      <c r="AO43" s="464">
        <f t="shared" si="35"/>
        <v>0</v>
      </c>
      <c r="AP43" s="464">
        <f t="shared" si="35"/>
        <v>0</v>
      </c>
      <c r="AQ43" s="464">
        <f t="shared" si="35"/>
        <v>0</v>
      </c>
      <c r="AR43" s="464">
        <f t="shared" si="35"/>
        <v>0</v>
      </c>
      <c r="AS43" s="464">
        <f t="shared" si="35"/>
        <v>0</v>
      </c>
      <c r="AT43" s="464">
        <f t="shared" si="35"/>
        <v>0</v>
      </c>
      <c r="AU43" s="464">
        <f t="shared" si="35"/>
        <v>0</v>
      </c>
      <c r="AV43" s="464">
        <f t="shared" si="35"/>
        <v>0</v>
      </c>
      <c r="AW43" s="464">
        <f t="shared" si="35"/>
        <v>0</v>
      </c>
      <c r="AX43" s="464">
        <f t="shared" si="35"/>
        <v>0</v>
      </c>
      <c r="AY43" s="464">
        <f t="shared" si="35"/>
        <v>0</v>
      </c>
      <c r="AZ43" s="464">
        <f t="shared" si="35"/>
        <v>0</v>
      </c>
    </row>
    <row r="44" spans="2:52" x14ac:dyDescent="0.25">
      <c r="B44" s="49" t="s">
        <v>1106</v>
      </c>
      <c r="C44" s="460" t="s">
        <v>66</v>
      </c>
      <c r="D44" s="460"/>
      <c r="E44" s="461"/>
      <c r="F44" s="462"/>
      <c r="G44" s="225"/>
      <c r="H44" s="300"/>
      <c r="I44" s="2"/>
      <c r="J44" s="223">
        <f t="shared" si="33"/>
        <v>0</v>
      </c>
      <c r="K44" s="222">
        <f>AVERAGE(M44:AZ44)</f>
        <v>0</v>
      </c>
      <c r="L44" s="463">
        <f>SUM(M44:AZ44)</f>
        <v>0</v>
      </c>
      <c r="M44" s="461">
        <f>M22</f>
        <v>0</v>
      </c>
      <c r="N44" s="461">
        <f t="shared" ref="N44:AZ44" si="36">N22</f>
        <v>0</v>
      </c>
      <c r="O44" s="461">
        <f t="shared" si="36"/>
        <v>0</v>
      </c>
      <c r="P44" s="461">
        <f t="shared" si="36"/>
        <v>0</v>
      </c>
      <c r="Q44" s="461">
        <f t="shared" si="36"/>
        <v>0</v>
      </c>
      <c r="R44" s="461">
        <f t="shared" si="36"/>
        <v>0</v>
      </c>
      <c r="S44" s="461">
        <f t="shared" si="36"/>
        <v>0</v>
      </c>
      <c r="T44" s="461">
        <f t="shared" si="36"/>
        <v>0</v>
      </c>
      <c r="U44" s="461">
        <f t="shared" si="36"/>
        <v>0</v>
      </c>
      <c r="V44" s="461">
        <f t="shared" si="36"/>
        <v>0</v>
      </c>
      <c r="W44" s="461">
        <f t="shared" si="36"/>
        <v>0</v>
      </c>
      <c r="X44" s="461">
        <f t="shared" si="36"/>
        <v>0</v>
      </c>
      <c r="Y44" s="461">
        <f t="shared" si="36"/>
        <v>0</v>
      </c>
      <c r="Z44" s="461">
        <f t="shared" si="36"/>
        <v>0</v>
      </c>
      <c r="AA44" s="461">
        <f t="shared" si="36"/>
        <v>0</v>
      </c>
      <c r="AB44" s="461">
        <f t="shared" si="36"/>
        <v>0</v>
      </c>
      <c r="AC44" s="461">
        <f t="shared" si="36"/>
        <v>0</v>
      </c>
      <c r="AD44" s="461">
        <f t="shared" si="36"/>
        <v>0</v>
      </c>
      <c r="AE44" s="461">
        <f t="shared" si="36"/>
        <v>0</v>
      </c>
      <c r="AF44" s="461">
        <f t="shared" si="36"/>
        <v>0</v>
      </c>
      <c r="AG44" s="461">
        <f t="shared" si="36"/>
        <v>0</v>
      </c>
      <c r="AH44" s="461">
        <f t="shared" si="36"/>
        <v>0</v>
      </c>
      <c r="AI44" s="461">
        <f t="shared" si="36"/>
        <v>0</v>
      </c>
      <c r="AJ44" s="461">
        <f t="shared" si="36"/>
        <v>0</v>
      </c>
      <c r="AK44" s="461">
        <f t="shared" si="36"/>
        <v>0</v>
      </c>
      <c r="AL44" s="461">
        <f t="shared" si="36"/>
        <v>0</v>
      </c>
      <c r="AM44" s="461">
        <f t="shared" si="36"/>
        <v>0</v>
      </c>
      <c r="AN44" s="461">
        <f t="shared" si="36"/>
        <v>0</v>
      </c>
      <c r="AO44" s="461">
        <f t="shared" si="36"/>
        <v>0</v>
      </c>
      <c r="AP44" s="461">
        <f t="shared" si="36"/>
        <v>0</v>
      </c>
      <c r="AQ44" s="461">
        <f t="shared" si="36"/>
        <v>0</v>
      </c>
      <c r="AR44" s="461">
        <f t="shared" si="36"/>
        <v>0</v>
      </c>
      <c r="AS44" s="461">
        <f t="shared" si="36"/>
        <v>0</v>
      </c>
      <c r="AT44" s="461">
        <f t="shared" si="36"/>
        <v>0</v>
      </c>
      <c r="AU44" s="461">
        <f t="shared" si="36"/>
        <v>0</v>
      </c>
      <c r="AV44" s="461">
        <f t="shared" si="36"/>
        <v>0</v>
      </c>
      <c r="AW44" s="461">
        <f t="shared" si="36"/>
        <v>0</v>
      </c>
      <c r="AX44" s="461">
        <f t="shared" si="36"/>
        <v>0</v>
      </c>
      <c r="AY44" s="461">
        <f t="shared" si="36"/>
        <v>0</v>
      </c>
      <c r="AZ44" s="461">
        <f t="shared" si="36"/>
        <v>0</v>
      </c>
    </row>
    <row r="45" spans="2:52" x14ac:dyDescent="0.25">
      <c r="B45" s="459" t="s">
        <v>1107</v>
      </c>
      <c r="C45" s="460" t="s">
        <v>66</v>
      </c>
      <c r="D45" s="460"/>
      <c r="E45" s="461"/>
      <c r="F45" s="462"/>
      <c r="G45" s="225"/>
      <c r="H45" s="300"/>
      <c r="I45" s="2"/>
      <c r="J45" s="223">
        <f t="shared" si="33"/>
        <v>0</v>
      </c>
      <c r="K45" s="222">
        <f>AVERAGE(M45:AZ45)</f>
        <v>0</v>
      </c>
      <c r="L45" s="463">
        <f>SUM(M45:AZ45)</f>
        <v>0</v>
      </c>
      <c r="M45" s="461">
        <f>M31+M32</f>
        <v>0</v>
      </c>
      <c r="N45" s="461">
        <f t="shared" ref="N45:AZ45" si="37">N31+N32</f>
        <v>0</v>
      </c>
      <c r="O45" s="461">
        <f t="shared" si="37"/>
        <v>0</v>
      </c>
      <c r="P45" s="461">
        <f t="shared" si="37"/>
        <v>0</v>
      </c>
      <c r="Q45" s="461">
        <f t="shared" si="37"/>
        <v>0</v>
      </c>
      <c r="R45" s="461">
        <f t="shared" si="37"/>
        <v>0</v>
      </c>
      <c r="S45" s="461">
        <f t="shared" si="37"/>
        <v>0</v>
      </c>
      <c r="T45" s="461">
        <f t="shared" si="37"/>
        <v>0</v>
      </c>
      <c r="U45" s="461">
        <f t="shared" si="37"/>
        <v>0</v>
      </c>
      <c r="V45" s="461">
        <f t="shared" si="37"/>
        <v>0</v>
      </c>
      <c r="W45" s="461">
        <f t="shared" si="37"/>
        <v>0</v>
      </c>
      <c r="X45" s="461">
        <f t="shared" si="37"/>
        <v>0</v>
      </c>
      <c r="Y45" s="461">
        <f t="shared" si="37"/>
        <v>0</v>
      </c>
      <c r="Z45" s="461">
        <f t="shared" si="37"/>
        <v>0</v>
      </c>
      <c r="AA45" s="461">
        <f t="shared" si="37"/>
        <v>0</v>
      </c>
      <c r="AB45" s="461">
        <f t="shared" si="37"/>
        <v>0</v>
      </c>
      <c r="AC45" s="461">
        <f t="shared" si="37"/>
        <v>0</v>
      </c>
      <c r="AD45" s="461">
        <f t="shared" si="37"/>
        <v>0</v>
      </c>
      <c r="AE45" s="461">
        <f t="shared" si="37"/>
        <v>0</v>
      </c>
      <c r="AF45" s="461">
        <f t="shared" si="37"/>
        <v>0</v>
      </c>
      <c r="AG45" s="461">
        <f t="shared" si="37"/>
        <v>0</v>
      </c>
      <c r="AH45" s="461">
        <f t="shared" si="37"/>
        <v>0</v>
      </c>
      <c r="AI45" s="461">
        <f t="shared" si="37"/>
        <v>0</v>
      </c>
      <c r="AJ45" s="461">
        <f t="shared" si="37"/>
        <v>0</v>
      </c>
      <c r="AK45" s="461">
        <f t="shared" si="37"/>
        <v>0</v>
      </c>
      <c r="AL45" s="461">
        <f t="shared" si="37"/>
        <v>0</v>
      </c>
      <c r="AM45" s="461">
        <f t="shared" si="37"/>
        <v>0</v>
      </c>
      <c r="AN45" s="461">
        <f t="shared" si="37"/>
        <v>0</v>
      </c>
      <c r="AO45" s="461">
        <f t="shared" si="37"/>
        <v>0</v>
      </c>
      <c r="AP45" s="461">
        <f t="shared" si="37"/>
        <v>0</v>
      </c>
      <c r="AQ45" s="461">
        <f t="shared" si="37"/>
        <v>0</v>
      </c>
      <c r="AR45" s="461">
        <f t="shared" si="37"/>
        <v>0</v>
      </c>
      <c r="AS45" s="461">
        <f t="shared" si="37"/>
        <v>0</v>
      </c>
      <c r="AT45" s="461">
        <f t="shared" si="37"/>
        <v>0</v>
      </c>
      <c r="AU45" s="461">
        <f t="shared" si="37"/>
        <v>0</v>
      </c>
      <c r="AV45" s="461">
        <f t="shared" si="37"/>
        <v>0</v>
      </c>
      <c r="AW45" s="461">
        <f t="shared" si="37"/>
        <v>0</v>
      </c>
      <c r="AX45" s="461">
        <f t="shared" si="37"/>
        <v>0</v>
      </c>
      <c r="AY45" s="461">
        <f t="shared" si="37"/>
        <v>0</v>
      </c>
      <c r="AZ45" s="461">
        <f t="shared" si="37"/>
        <v>0</v>
      </c>
    </row>
    <row r="46" spans="2:52" x14ac:dyDescent="0.25">
      <c r="B46" s="57" t="s">
        <v>1104</v>
      </c>
      <c r="C46" s="58" t="s">
        <v>66</v>
      </c>
      <c r="D46" s="58"/>
      <c r="E46" s="59"/>
      <c r="F46" s="60"/>
      <c r="G46" s="61"/>
      <c r="H46" s="62"/>
      <c r="I46" s="2"/>
      <c r="J46" s="224">
        <f t="shared" si="33"/>
        <v>0</v>
      </c>
      <c r="K46" s="63">
        <f t="shared" si="13"/>
        <v>0</v>
      </c>
      <c r="L46" s="65">
        <f t="shared" si="14"/>
        <v>0</v>
      </c>
      <c r="M46" s="64">
        <f>M22+M31+M32</f>
        <v>0</v>
      </c>
      <c r="N46" s="64">
        <f t="shared" ref="N46:AZ46" si="38">N22+N31+N32</f>
        <v>0</v>
      </c>
      <c r="O46" s="64">
        <f t="shared" si="38"/>
        <v>0</v>
      </c>
      <c r="P46" s="64">
        <f t="shared" si="38"/>
        <v>0</v>
      </c>
      <c r="Q46" s="64">
        <f t="shared" si="38"/>
        <v>0</v>
      </c>
      <c r="R46" s="64">
        <f t="shared" si="38"/>
        <v>0</v>
      </c>
      <c r="S46" s="64">
        <f t="shared" si="38"/>
        <v>0</v>
      </c>
      <c r="T46" s="64">
        <f t="shared" si="38"/>
        <v>0</v>
      </c>
      <c r="U46" s="64">
        <f t="shared" si="38"/>
        <v>0</v>
      </c>
      <c r="V46" s="64">
        <f t="shared" si="38"/>
        <v>0</v>
      </c>
      <c r="W46" s="64">
        <f t="shared" si="38"/>
        <v>0</v>
      </c>
      <c r="X46" s="64">
        <f t="shared" si="38"/>
        <v>0</v>
      </c>
      <c r="Y46" s="64">
        <f t="shared" si="38"/>
        <v>0</v>
      </c>
      <c r="Z46" s="64">
        <f t="shared" si="38"/>
        <v>0</v>
      </c>
      <c r="AA46" s="64">
        <f t="shared" si="38"/>
        <v>0</v>
      </c>
      <c r="AB46" s="64">
        <f t="shared" si="38"/>
        <v>0</v>
      </c>
      <c r="AC46" s="64">
        <f t="shared" si="38"/>
        <v>0</v>
      </c>
      <c r="AD46" s="64">
        <f t="shared" si="38"/>
        <v>0</v>
      </c>
      <c r="AE46" s="64">
        <f t="shared" si="38"/>
        <v>0</v>
      </c>
      <c r="AF46" s="64">
        <f t="shared" si="38"/>
        <v>0</v>
      </c>
      <c r="AG46" s="64">
        <f t="shared" si="38"/>
        <v>0</v>
      </c>
      <c r="AH46" s="64">
        <f t="shared" si="38"/>
        <v>0</v>
      </c>
      <c r="AI46" s="64">
        <f t="shared" si="38"/>
        <v>0</v>
      </c>
      <c r="AJ46" s="64">
        <f t="shared" si="38"/>
        <v>0</v>
      </c>
      <c r="AK46" s="64">
        <f t="shared" si="38"/>
        <v>0</v>
      </c>
      <c r="AL46" s="64">
        <f t="shared" si="38"/>
        <v>0</v>
      </c>
      <c r="AM46" s="64">
        <f t="shared" si="38"/>
        <v>0</v>
      </c>
      <c r="AN46" s="64">
        <f t="shared" si="38"/>
        <v>0</v>
      </c>
      <c r="AO46" s="64">
        <f t="shared" si="38"/>
        <v>0</v>
      </c>
      <c r="AP46" s="64">
        <f t="shared" si="38"/>
        <v>0</v>
      </c>
      <c r="AQ46" s="64">
        <f t="shared" si="38"/>
        <v>0</v>
      </c>
      <c r="AR46" s="64">
        <f t="shared" si="38"/>
        <v>0</v>
      </c>
      <c r="AS46" s="64">
        <f t="shared" si="38"/>
        <v>0</v>
      </c>
      <c r="AT46" s="64">
        <f t="shared" si="38"/>
        <v>0</v>
      </c>
      <c r="AU46" s="64">
        <f t="shared" si="38"/>
        <v>0</v>
      </c>
      <c r="AV46" s="64">
        <f t="shared" si="38"/>
        <v>0</v>
      </c>
      <c r="AW46" s="64">
        <f t="shared" si="38"/>
        <v>0</v>
      </c>
      <c r="AX46" s="64">
        <f t="shared" si="38"/>
        <v>0</v>
      </c>
      <c r="AY46" s="64">
        <f t="shared" si="38"/>
        <v>0</v>
      </c>
      <c r="AZ46" s="64">
        <f t="shared" si="38"/>
        <v>0</v>
      </c>
    </row>
    <row r="47" spans="2:52" x14ac:dyDescent="0.25">
      <c r="B47" s="57" t="s">
        <v>284</v>
      </c>
      <c r="C47" s="58" t="s">
        <v>70</v>
      </c>
      <c r="D47" s="58"/>
      <c r="E47" s="59"/>
      <c r="F47" s="60"/>
      <c r="G47" s="61"/>
      <c r="H47" s="62"/>
      <c r="I47" s="2"/>
      <c r="J47" s="224">
        <f t="shared" si="33"/>
        <v>0</v>
      </c>
      <c r="K47" s="63">
        <f t="shared" si="13"/>
        <v>0</v>
      </c>
      <c r="L47" s="65">
        <f t="shared" si="14"/>
        <v>0</v>
      </c>
      <c r="M47" s="64">
        <f>M27+M28</f>
        <v>0</v>
      </c>
      <c r="N47" s="64">
        <f t="shared" ref="N47:AZ47" si="39">N27+N28</f>
        <v>0</v>
      </c>
      <c r="O47" s="64">
        <f t="shared" si="39"/>
        <v>0</v>
      </c>
      <c r="P47" s="64">
        <f t="shared" si="39"/>
        <v>0</v>
      </c>
      <c r="Q47" s="64">
        <f t="shared" si="39"/>
        <v>0</v>
      </c>
      <c r="R47" s="64">
        <f t="shared" si="39"/>
        <v>0</v>
      </c>
      <c r="S47" s="64">
        <f t="shared" si="39"/>
        <v>0</v>
      </c>
      <c r="T47" s="64">
        <f t="shared" si="39"/>
        <v>0</v>
      </c>
      <c r="U47" s="64">
        <f t="shared" si="39"/>
        <v>0</v>
      </c>
      <c r="V47" s="64">
        <f t="shared" si="39"/>
        <v>0</v>
      </c>
      <c r="W47" s="64">
        <f t="shared" si="39"/>
        <v>0</v>
      </c>
      <c r="X47" s="64">
        <f t="shared" si="39"/>
        <v>0</v>
      </c>
      <c r="Y47" s="64">
        <f t="shared" si="39"/>
        <v>0</v>
      </c>
      <c r="Z47" s="64">
        <f t="shared" si="39"/>
        <v>0</v>
      </c>
      <c r="AA47" s="64">
        <f t="shared" si="39"/>
        <v>0</v>
      </c>
      <c r="AB47" s="64">
        <f t="shared" si="39"/>
        <v>0</v>
      </c>
      <c r="AC47" s="64">
        <f t="shared" si="39"/>
        <v>0</v>
      </c>
      <c r="AD47" s="64">
        <f t="shared" si="39"/>
        <v>0</v>
      </c>
      <c r="AE47" s="64">
        <f t="shared" si="39"/>
        <v>0</v>
      </c>
      <c r="AF47" s="64">
        <f t="shared" si="39"/>
        <v>0</v>
      </c>
      <c r="AG47" s="64">
        <f t="shared" si="39"/>
        <v>0</v>
      </c>
      <c r="AH47" s="64">
        <f t="shared" si="39"/>
        <v>0</v>
      </c>
      <c r="AI47" s="64">
        <f t="shared" si="39"/>
        <v>0</v>
      </c>
      <c r="AJ47" s="64">
        <f t="shared" si="39"/>
        <v>0</v>
      </c>
      <c r="AK47" s="64">
        <f t="shared" si="39"/>
        <v>0</v>
      </c>
      <c r="AL47" s="64">
        <f t="shared" si="39"/>
        <v>0</v>
      </c>
      <c r="AM47" s="64">
        <f t="shared" si="39"/>
        <v>0</v>
      </c>
      <c r="AN47" s="64">
        <f t="shared" si="39"/>
        <v>0</v>
      </c>
      <c r="AO47" s="64">
        <f t="shared" si="39"/>
        <v>0</v>
      </c>
      <c r="AP47" s="64">
        <f t="shared" si="39"/>
        <v>0</v>
      </c>
      <c r="AQ47" s="64">
        <f t="shared" si="39"/>
        <v>0</v>
      </c>
      <c r="AR47" s="64">
        <f t="shared" si="39"/>
        <v>0</v>
      </c>
      <c r="AS47" s="64">
        <f t="shared" si="39"/>
        <v>0</v>
      </c>
      <c r="AT47" s="64">
        <f t="shared" si="39"/>
        <v>0</v>
      </c>
      <c r="AU47" s="64">
        <f t="shared" si="39"/>
        <v>0</v>
      </c>
      <c r="AV47" s="64">
        <f t="shared" si="39"/>
        <v>0</v>
      </c>
      <c r="AW47" s="64">
        <f t="shared" si="39"/>
        <v>0</v>
      </c>
      <c r="AX47" s="64">
        <f t="shared" si="39"/>
        <v>0</v>
      </c>
      <c r="AY47" s="64">
        <f t="shared" si="39"/>
        <v>0</v>
      </c>
      <c r="AZ47" s="64">
        <f t="shared" si="39"/>
        <v>0</v>
      </c>
    </row>
    <row r="48" spans="2:52" x14ac:dyDescent="0.25">
      <c r="B48" s="57" t="s">
        <v>993</v>
      </c>
      <c r="C48" s="58" t="s">
        <v>249</v>
      </c>
      <c r="D48" s="58"/>
      <c r="E48" s="59"/>
      <c r="F48" s="60"/>
      <c r="G48" s="225"/>
      <c r="H48" s="300"/>
      <c r="I48" s="2"/>
      <c r="J48" s="224">
        <f t="shared" si="33"/>
        <v>0</v>
      </c>
      <c r="K48" s="63">
        <f t="shared" ref="K48" si="40">AVERAGE(M48:AZ48)</f>
        <v>0</v>
      </c>
      <c r="L48" s="65">
        <f t="shared" ref="L48" si="41">SUM(M48:AZ48)</f>
        <v>0</v>
      </c>
      <c r="M48" s="64">
        <f>M25+M26</f>
        <v>0</v>
      </c>
      <c r="N48" s="64">
        <f t="shared" ref="N48:AZ48" si="42">N25+N26</f>
        <v>0</v>
      </c>
      <c r="O48" s="64">
        <f t="shared" si="42"/>
        <v>0</v>
      </c>
      <c r="P48" s="64">
        <f t="shared" si="42"/>
        <v>0</v>
      </c>
      <c r="Q48" s="64">
        <f t="shared" si="42"/>
        <v>0</v>
      </c>
      <c r="R48" s="64">
        <f t="shared" si="42"/>
        <v>0</v>
      </c>
      <c r="S48" s="64">
        <f t="shared" si="42"/>
        <v>0</v>
      </c>
      <c r="T48" s="64">
        <f t="shared" si="42"/>
        <v>0</v>
      </c>
      <c r="U48" s="64">
        <f t="shared" si="42"/>
        <v>0</v>
      </c>
      <c r="V48" s="64">
        <f t="shared" si="42"/>
        <v>0</v>
      </c>
      <c r="W48" s="64">
        <f t="shared" si="42"/>
        <v>0</v>
      </c>
      <c r="X48" s="64">
        <f t="shared" si="42"/>
        <v>0</v>
      </c>
      <c r="Y48" s="64">
        <f t="shared" si="42"/>
        <v>0</v>
      </c>
      <c r="Z48" s="64">
        <f t="shared" si="42"/>
        <v>0</v>
      </c>
      <c r="AA48" s="64">
        <f t="shared" si="42"/>
        <v>0</v>
      </c>
      <c r="AB48" s="64">
        <f t="shared" si="42"/>
        <v>0</v>
      </c>
      <c r="AC48" s="64">
        <f t="shared" si="42"/>
        <v>0</v>
      </c>
      <c r="AD48" s="64">
        <f t="shared" si="42"/>
        <v>0</v>
      </c>
      <c r="AE48" s="64">
        <f t="shared" si="42"/>
        <v>0</v>
      </c>
      <c r="AF48" s="64">
        <f t="shared" si="42"/>
        <v>0</v>
      </c>
      <c r="AG48" s="64">
        <f t="shared" si="42"/>
        <v>0</v>
      </c>
      <c r="AH48" s="64">
        <f t="shared" si="42"/>
        <v>0</v>
      </c>
      <c r="AI48" s="64">
        <f t="shared" si="42"/>
        <v>0</v>
      </c>
      <c r="AJ48" s="64">
        <f t="shared" si="42"/>
        <v>0</v>
      </c>
      <c r="AK48" s="64">
        <f t="shared" si="42"/>
        <v>0</v>
      </c>
      <c r="AL48" s="64">
        <f t="shared" si="42"/>
        <v>0</v>
      </c>
      <c r="AM48" s="64">
        <f t="shared" si="42"/>
        <v>0</v>
      </c>
      <c r="AN48" s="64">
        <f t="shared" si="42"/>
        <v>0</v>
      </c>
      <c r="AO48" s="64">
        <f t="shared" si="42"/>
        <v>0</v>
      </c>
      <c r="AP48" s="64">
        <f t="shared" si="42"/>
        <v>0</v>
      </c>
      <c r="AQ48" s="64">
        <f t="shared" si="42"/>
        <v>0</v>
      </c>
      <c r="AR48" s="64">
        <f t="shared" si="42"/>
        <v>0</v>
      </c>
      <c r="AS48" s="64">
        <f t="shared" si="42"/>
        <v>0</v>
      </c>
      <c r="AT48" s="64">
        <f t="shared" si="42"/>
        <v>0</v>
      </c>
      <c r="AU48" s="64">
        <f t="shared" si="42"/>
        <v>0</v>
      </c>
      <c r="AV48" s="64">
        <f t="shared" si="42"/>
        <v>0</v>
      </c>
      <c r="AW48" s="64">
        <f t="shared" si="42"/>
        <v>0</v>
      </c>
      <c r="AX48" s="64">
        <f t="shared" si="42"/>
        <v>0</v>
      </c>
      <c r="AY48" s="64">
        <f t="shared" si="42"/>
        <v>0</v>
      </c>
      <c r="AZ48" s="64">
        <f t="shared" si="42"/>
        <v>0</v>
      </c>
    </row>
    <row r="49" spans="2:52" x14ac:dyDescent="0.25">
      <c r="B49" s="57" t="s">
        <v>994</v>
      </c>
      <c r="C49" s="58" t="s">
        <v>66</v>
      </c>
      <c r="D49" s="58"/>
      <c r="E49" s="59"/>
      <c r="F49" s="60"/>
      <c r="G49" s="225"/>
      <c r="H49" s="226"/>
      <c r="I49" s="227"/>
      <c r="J49" s="224">
        <f t="shared" si="33"/>
        <v>0</v>
      </c>
      <c r="K49" s="63">
        <f t="shared" ref="K49:K58" si="43">AVERAGE(M49:AZ49)</f>
        <v>0</v>
      </c>
      <c r="L49" s="65">
        <f>SUM(M49:AZ49)</f>
        <v>0</v>
      </c>
      <c r="M49" s="64">
        <f>M34+M35</f>
        <v>0</v>
      </c>
      <c r="N49" s="64">
        <f t="shared" ref="N49:AZ49" si="44">N34+N35</f>
        <v>0</v>
      </c>
      <c r="O49" s="64">
        <f t="shared" si="44"/>
        <v>0</v>
      </c>
      <c r="P49" s="64">
        <f t="shared" si="44"/>
        <v>0</v>
      </c>
      <c r="Q49" s="64">
        <f t="shared" si="44"/>
        <v>0</v>
      </c>
      <c r="R49" s="64">
        <f t="shared" si="44"/>
        <v>0</v>
      </c>
      <c r="S49" s="64">
        <f t="shared" si="44"/>
        <v>0</v>
      </c>
      <c r="T49" s="64">
        <f t="shared" si="44"/>
        <v>0</v>
      </c>
      <c r="U49" s="64">
        <f t="shared" si="44"/>
        <v>0</v>
      </c>
      <c r="V49" s="64">
        <f t="shared" si="44"/>
        <v>0</v>
      </c>
      <c r="W49" s="64">
        <f t="shared" si="44"/>
        <v>0</v>
      </c>
      <c r="X49" s="64">
        <f t="shared" si="44"/>
        <v>0</v>
      </c>
      <c r="Y49" s="64">
        <f t="shared" si="44"/>
        <v>0</v>
      </c>
      <c r="Z49" s="64">
        <f t="shared" si="44"/>
        <v>0</v>
      </c>
      <c r="AA49" s="64">
        <f t="shared" si="44"/>
        <v>0</v>
      </c>
      <c r="AB49" s="64">
        <f t="shared" si="44"/>
        <v>0</v>
      </c>
      <c r="AC49" s="64">
        <f t="shared" si="44"/>
        <v>0</v>
      </c>
      <c r="AD49" s="64">
        <f t="shared" si="44"/>
        <v>0</v>
      </c>
      <c r="AE49" s="64">
        <f t="shared" si="44"/>
        <v>0</v>
      </c>
      <c r="AF49" s="64">
        <f t="shared" si="44"/>
        <v>0</v>
      </c>
      <c r="AG49" s="64">
        <f t="shared" si="44"/>
        <v>0</v>
      </c>
      <c r="AH49" s="64">
        <f t="shared" si="44"/>
        <v>0</v>
      </c>
      <c r="AI49" s="64">
        <f t="shared" si="44"/>
        <v>0</v>
      </c>
      <c r="AJ49" s="64">
        <f t="shared" si="44"/>
        <v>0</v>
      </c>
      <c r="AK49" s="64">
        <f t="shared" si="44"/>
        <v>0</v>
      </c>
      <c r="AL49" s="64">
        <f t="shared" si="44"/>
        <v>0</v>
      </c>
      <c r="AM49" s="64">
        <f t="shared" si="44"/>
        <v>0</v>
      </c>
      <c r="AN49" s="64">
        <f t="shared" si="44"/>
        <v>0</v>
      </c>
      <c r="AO49" s="64">
        <f t="shared" si="44"/>
        <v>0</v>
      </c>
      <c r="AP49" s="64">
        <f t="shared" si="44"/>
        <v>0</v>
      </c>
      <c r="AQ49" s="64">
        <f t="shared" si="44"/>
        <v>0</v>
      </c>
      <c r="AR49" s="64">
        <f t="shared" si="44"/>
        <v>0</v>
      </c>
      <c r="AS49" s="64">
        <f t="shared" si="44"/>
        <v>0</v>
      </c>
      <c r="AT49" s="64">
        <f t="shared" si="44"/>
        <v>0</v>
      </c>
      <c r="AU49" s="64">
        <f t="shared" si="44"/>
        <v>0</v>
      </c>
      <c r="AV49" s="64">
        <f t="shared" si="44"/>
        <v>0</v>
      </c>
      <c r="AW49" s="64">
        <f t="shared" si="44"/>
        <v>0</v>
      </c>
      <c r="AX49" s="64">
        <f t="shared" si="44"/>
        <v>0</v>
      </c>
      <c r="AY49" s="64">
        <f t="shared" si="44"/>
        <v>0</v>
      </c>
      <c r="AZ49" s="64">
        <f t="shared" si="44"/>
        <v>0</v>
      </c>
    </row>
    <row r="50" spans="2:52" x14ac:dyDescent="0.25">
      <c r="B50" s="41" t="s">
        <v>286</v>
      </c>
      <c r="C50" s="42"/>
      <c r="D50" s="42"/>
      <c r="E50" s="42"/>
      <c r="F50" s="42"/>
      <c r="G50" s="42"/>
      <c r="H50" s="46"/>
      <c r="I50" s="3"/>
      <c r="J50" s="228">
        <f t="shared" si="33"/>
        <v>0</v>
      </c>
      <c r="K50" s="163">
        <f t="shared" ref="K50" si="45">AVERAGE(M50:AZ50)</f>
        <v>0</v>
      </c>
      <c r="L50" s="48">
        <f t="shared" ref="L50" si="46">SUM(M50:AZ50)</f>
        <v>0</v>
      </c>
      <c r="M50" s="47">
        <f>SUM(M46:M49)</f>
        <v>0</v>
      </c>
      <c r="N50" s="47">
        <f t="shared" ref="N50:AZ50" si="47">SUM(N46:N49)</f>
        <v>0</v>
      </c>
      <c r="O50" s="47">
        <f t="shared" si="47"/>
        <v>0</v>
      </c>
      <c r="P50" s="47">
        <f t="shared" si="47"/>
        <v>0</v>
      </c>
      <c r="Q50" s="47">
        <f t="shared" si="47"/>
        <v>0</v>
      </c>
      <c r="R50" s="47">
        <f t="shared" si="47"/>
        <v>0</v>
      </c>
      <c r="S50" s="47">
        <f t="shared" si="47"/>
        <v>0</v>
      </c>
      <c r="T50" s="47">
        <f t="shared" si="47"/>
        <v>0</v>
      </c>
      <c r="U50" s="47">
        <f t="shared" si="47"/>
        <v>0</v>
      </c>
      <c r="V50" s="47">
        <f t="shared" si="47"/>
        <v>0</v>
      </c>
      <c r="W50" s="47">
        <f t="shared" si="47"/>
        <v>0</v>
      </c>
      <c r="X50" s="47">
        <f t="shared" si="47"/>
        <v>0</v>
      </c>
      <c r="Y50" s="47">
        <f t="shared" si="47"/>
        <v>0</v>
      </c>
      <c r="Z50" s="47">
        <f t="shared" si="47"/>
        <v>0</v>
      </c>
      <c r="AA50" s="47">
        <f t="shared" si="47"/>
        <v>0</v>
      </c>
      <c r="AB50" s="47">
        <f t="shared" si="47"/>
        <v>0</v>
      </c>
      <c r="AC50" s="47">
        <f t="shared" si="47"/>
        <v>0</v>
      </c>
      <c r="AD50" s="47">
        <f t="shared" si="47"/>
        <v>0</v>
      </c>
      <c r="AE50" s="47">
        <f t="shared" si="47"/>
        <v>0</v>
      </c>
      <c r="AF50" s="47">
        <f t="shared" si="47"/>
        <v>0</v>
      </c>
      <c r="AG50" s="47">
        <f t="shared" si="47"/>
        <v>0</v>
      </c>
      <c r="AH50" s="47">
        <f t="shared" si="47"/>
        <v>0</v>
      </c>
      <c r="AI50" s="47">
        <f t="shared" si="47"/>
        <v>0</v>
      </c>
      <c r="AJ50" s="47">
        <f t="shared" si="47"/>
        <v>0</v>
      </c>
      <c r="AK50" s="47">
        <f t="shared" si="47"/>
        <v>0</v>
      </c>
      <c r="AL50" s="47">
        <f t="shared" si="47"/>
        <v>0</v>
      </c>
      <c r="AM50" s="47">
        <f t="shared" si="47"/>
        <v>0</v>
      </c>
      <c r="AN50" s="47">
        <f t="shared" si="47"/>
        <v>0</v>
      </c>
      <c r="AO50" s="47">
        <f t="shared" si="47"/>
        <v>0</v>
      </c>
      <c r="AP50" s="47">
        <f t="shared" si="47"/>
        <v>0</v>
      </c>
      <c r="AQ50" s="47">
        <f t="shared" si="47"/>
        <v>0</v>
      </c>
      <c r="AR50" s="47">
        <f t="shared" si="47"/>
        <v>0</v>
      </c>
      <c r="AS50" s="47">
        <f t="shared" si="47"/>
        <v>0</v>
      </c>
      <c r="AT50" s="47">
        <f t="shared" si="47"/>
        <v>0</v>
      </c>
      <c r="AU50" s="47">
        <f t="shared" si="47"/>
        <v>0</v>
      </c>
      <c r="AV50" s="47">
        <f t="shared" si="47"/>
        <v>0</v>
      </c>
      <c r="AW50" s="47">
        <f t="shared" si="47"/>
        <v>0</v>
      </c>
      <c r="AX50" s="47">
        <f t="shared" si="47"/>
        <v>0</v>
      </c>
      <c r="AY50" s="47">
        <f t="shared" si="47"/>
        <v>0</v>
      </c>
      <c r="AZ50" s="47">
        <f t="shared" si="47"/>
        <v>0</v>
      </c>
    </row>
    <row r="51" spans="2:52" x14ac:dyDescent="0.25">
      <c r="B51" s="24"/>
      <c r="C51" s="25"/>
      <c r="D51" s="25"/>
      <c r="E51" s="26"/>
      <c r="F51" s="27"/>
      <c r="G51" s="20"/>
      <c r="H51" s="21"/>
      <c r="I51" s="22"/>
      <c r="J51" s="32"/>
      <c r="K51" s="32"/>
      <c r="L51" s="152"/>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3"/>
      <c r="AU51" s="33"/>
      <c r="AV51" s="33"/>
      <c r="AW51" s="33"/>
      <c r="AX51" s="33"/>
      <c r="AY51" s="33"/>
      <c r="AZ51" s="33"/>
    </row>
    <row r="52" spans="2:52" x14ac:dyDescent="0.25">
      <c r="B52" s="24"/>
      <c r="C52" s="25"/>
      <c r="D52" s="25"/>
      <c r="E52" s="26"/>
      <c r="F52" s="27"/>
      <c r="G52" s="20"/>
      <c r="H52" s="21"/>
      <c r="I52" s="22"/>
      <c r="J52" s="32"/>
      <c r="K52" s="32"/>
      <c r="L52" s="152"/>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row>
    <row r="53" spans="2:52" x14ac:dyDescent="0.25">
      <c r="B53" s="24"/>
      <c r="C53" s="25"/>
      <c r="D53" s="25"/>
      <c r="E53" s="26"/>
      <c r="F53" s="27"/>
      <c r="G53" s="31"/>
      <c r="H53" s="21"/>
      <c r="I53" s="22"/>
      <c r="J53" s="32"/>
      <c r="K53" s="32"/>
      <c r="L53" s="152"/>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row>
    <row r="54" spans="2:52" x14ac:dyDescent="0.25">
      <c r="B54" s="24"/>
      <c r="C54" s="25"/>
      <c r="D54" s="25"/>
      <c r="E54" s="26"/>
      <c r="F54" s="27"/>
      <c r="G54" s="31"/>
      <c r="H54" s="21"/>
      <c r="I54" s="22"/>
      <c r="J54" s="32"/>
      <c r="K54" s="32"/>
      <c r="L54" s="152"/>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row>
    <row r="55" spans="2:52" x14ac:dyDescent="0.25">
      <c r="B55" s="24"/>
      <c r="C55" s="25"/>
      <c r="D55" s="25"/>
      <c r="E55" s="26"/>
      <c r="F55" s="27"/>
      <c r="G55" s="31"/>
      <c r="H55" s="21"/>
      <c r="I55" s="22"/>
      <c r="J55" s="32"/>
      <c r="K55" s="32"/>
      <c r="L55" s="152"/>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row>
    <row r="56" spans="2:52" x14ac:dyDescent="0.25">
      <c r="B56" s="24"/>
      <c r="C56" s="25"/>
      <c r="D56" s="25"/>
      <c r="E56" s="26"/>
      <c r="F56" s="27"/>
      <c r="G56" s="31"/>
      <c r="H56" s="21"/>
      <c r="I56" s="22"/>
      <c r="J56" s="32"/>
      <c r="K56" s="32"/>
      <c r="L56" s="152"/>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row>
    <row r="57" spans="2:52" x14ac:dyDescent="0.25">
      <c r="B57" s="66"/>
      <c r="C57" s="67"/>
      <c r="D57" s="67"/>
      <c r="E57" s="68"/>
      <c r="F57" s="69"/>
      <c r="G57" s="31"/>
      <c r="H57" s="21"/>
      <c r="I57" s="22"/>
      <c r="J57" s="70"/>
      <c r="K57" s="70"/>
      <c r="L57" s="154"/>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row>
    <row r="58" spans="2:52" x14ac:dyDescent="0.25">
      <c r="B58" s="41" t="s">
        <v>78</v>
      </c>
      <c r="C58" s="42"/>
      <c r="D58" s="42"/>
      <c r="E58" s="42"/>
      <c r="F58" s="42"/>
      <c r="G58" s="42"/>
      <c r="H58" s="46"/>
      <c r="I58" s="3"/>
      <c r="J58" s="228">
        <f t="shared" ref="J58" si="48">IF(AND(K58&gt;0,$D$72&gt;0),K58/$D$72,0)</f>
        <v>0</v>
      </c>
      <c r="K58" s="163">
        <f t="shared" si="43"/>
        <v>0</v>
      </c>
      <c r="L58" s="48">
        <f t="shared" ref="L58" si="49">SUM(M58:AZ58)</f>
        <v>0</v>
      </c>
      <c r="M58" s="47">
        <f>M46+M47+M49</f>
        <v>0</v>
      </c>
      <c r="N58" s="47">
        <f t="shared" ref="N58:AZ58" si="50">N46+N47+N49</f>
        <v>0</v>
      </c>
      <c r="O58" s="47">
        <f t="shared" si="50"/>
        <v>0</v>
      </c>
      <c r="P58" s="47">
        <f t="shared" si="50"/>
        <v>0</v>
      </c>
      <c r="Q58" s="47">
        <f t="shared" si="50"/>
        <v>0</v>
      </c>
      <c r="R58" s="47">
        <f t="shared" si="50"/>
        <v>0</v>
      </c>
      <c r="S58" s="47">
        <f t="shared" si="50"/>
        <v>0</v>
      </c>
      <c r="T58" s="47">
        <f t="shared" si="50"/>
        <v>0</v>
      </c>
      <c r="U58" s="47">
        <f t="shared" si="50"/>
        <v>0</v>
      </c>
      <c r="V58" s="47">
        <f t="shared" si="50"/>
        <v>0</v>
      </c>
      <c r="W58" s="47">
        <f t="shared" si="50"/>
        <v>0</v>
      </c>
      <c r="X58" s="47">
        <f t="shared" si="50"/>
        <v>0</v>
      </c>
      <c r="Y58" s="47">
        <f t="shared" si="50"/>
        <v>0</v>
      </c>
      <c r="Z58" s="47">
        <f t="shared" si="50"/>
        <v>0</v>
      </c>
      <c r="AA58" s="47">
        <f t="shared" si="50"/>
        <v>0</v>
      </c>
      <c r="AB58" s="47">
        <f t="shared" si="50"/>
        <v>0</v>
      </c>
      <c r="AC58" s="47">
        <f t="shared" si="50"/>
        <v>0</v>
      </c>
      <c r="AD58" s="47">
        <f t="shared" si="50"/>
        <v>0</v>
      </c>
      <c r="AE58" s="47">
        <f t="shared" si="50"/>
        <v>0</v>
      </c>
      <c r="AF58" s="47">
        <f t="shared" si="50"/>
        <v>0</v>
      </c>
      <c r="AG58" s="47">
        <f t="shared" si="50"/>
        <v>0</v>
      </c>
      <c r="AH58" s="47">
        <f t="shared" si="50"/>
        <v>0</v>
      </c>
      <c r="AI58" s="47">
        <f t="shared" si="50"/>
        <v>0</v>
      </c>
      <c r="AJ58" s="47">
        <f t="shared" si="50"/>
        <v>0</v>
      </c>
      <c r="AK58" s="47">
        <f t="shared" si="50"/>
        <v>0</v>
      </c>
      <c r="AL58" s="47">
        <f t="shared" si="50"/>
        <v>0</v>
      </c>
      <c r="AM58" s="47">
        <f t="shared" si="50"/>
        <v>0</v>
      </c>
      <c r="AN58" s="47">
        <f t="shared" si="50"/>
        <v>0</v>
      </c>
      <c r="AO58" s="47">
        <f t="shared" si="50"/>
        <v>0</v>
      </c>
      <c r="AP58" s="47">
        <f t="shared" si="50"/>
        <v>0</v>
      </c>
      <c r="AQ58" s="47">
        <f t="shared" si="50"/>
        <v>0</v>
      </c>
      <c r="AR58" s="47">
        <f t="shared" si="50"/>
        <v>0</v>
      </c>
      <c r="AS58" s="47">
        <f t="shared" si="50"/>
        <v>0</v>
      </c>
      <c r="AT58" s="47">
        <f t="shared" si="50"/>
        <v>0</v>
      </c>
      <c r="AU58" s="47">
        <f t="shared" si="50"/>
        <v>0</v>
      </c>
      <c r="AV58" s="47">
        <f t="shared" si="50"/>
        <v>0</v>
      </c>
      <c r="AW58" s="47">
        <f t="shared" si="50"/>
        <v>0</v>
      </c>
      <c r="AX58" s="47">
        <f t="shared" si="50"/>
        <v>0</v>
      </c>
      <c r="AY58" s="47">
        <f t="shared" si="50"/>
        <v>0</v>
      </c>
      <c r="AZ58" s="47">
        <f t="shared" si="50"/>
        <v>0</v>
      </c>
    </row>
    <row r="59" spans="2:52" ht="4.5" customHeight="1" x14ac:dyDescent="0.25">
      <c r="B59" s="72"/>
      <c r="C59" s="10"/>
      <c r="D59" s="10"/>
      <c r="E59" s="10"/>
      <c r="F59" s="10"/>
      <c r="G59" s="10"/>
      <c r="H59" s="73"/>
      <c r="I59" s="10"/>
      <c r="J59" s="164"/>
      <c r="K59" s="164"/>
      <c r="L59" s="155"/>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row>
    <row r="60" spans="2:52" x14ac:dyDescent="0.25">
      <c r="B60" s="75"/>
      <c r="C60" s="2"/>
      <c r="D60" s="2"/>
      <c r="E60" s="2"/>
      <c r="F60" s="2"/>
      <c r="G60" s="2"/>
      <c r="H60" s="76"/>
      <c r="I60" s="2"/>
      <c r="J60" s="64"/>
      <c r="K60" s="64"/>
      <c r="L60" s="64"/>
      <c r="M60" s="64"/>
      <c r="N60" s="64"/>
      <c r="O60" s="64"/>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row>
    <row r="61" spans="2:52" x14ac:dyDescent="0.25">
      <c r="B61" s="41" t="s">
        <v>84</v>
      </c>
      <c r="C61" s="42"/>
      <c r="D61" s="42"/>
      <c r="E61" s="42"/>
      <c r="F61" s="42"/>
      <c r="G61" s="42"/>
      <c r="H61" s="46"/>
      <c r="I61" s="3"/>
      <c r="J61" s="163"/>
      <c r="K61" s="163"/>
      <c r="L61" s="48"/>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8"/>
    </row>
    <row r="62" spans="2:52" x14ac:dyDescent="0.25">
      <c r="K62" s="164"/>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row>
    <row r="63" spans="2:52" x14ac:dyDescent="0.25">
      <c r="B63" s="41" t="s">
        <v>85</v>
      </c>
      <c r="C63" s="42" t="s">
        <v>86</v>
      </c>
      <c r="D63" s="42" t="s">
        <v>79</v>
      </c>
      <c r="E63" s="42"/>
      <c r="F63" s="42"/>
      <c r="G63" s="42"/>
      <c r="H63" s="46"/>
      <c r="I63" s="3"/>
      <c r="J63" s="3"/>
      <c r="K63" s="161"/>
      <c r="L63" s="156">
        <f>NPV($D$84,M50:AZ50)</f>
        <v>0</v>
      </c>
      <c r="M63" s="78"/>
    </row>
    <row r="64" spans="2:52" x14ac:dyDescent="0.25">
      <c r="B64" s="16"/>
      <c r="C64" s="57" t="s">
        <v>281</v>
      </c>
      <c r="D64" s="17" t="s">
        <v>66</v>
      </c>
      <c r="E64" s="17"/>
      <c r="F64" s="17"/>
      <c r="G64" s="17"/>
      <c r="H64" s="79"/>
      <c r="K64" s="28"/>
      <c r="L64" s="157">
        <f>NPV($D$84,M46:AZ46)</f>
        <v>0</v>
      </c>
    </row>
    <row r="65" spans="2:24" x14ac:dyDescent="0.25">
      <c r="B65" s="24"/>
      <c r="C65" s="57" t="s">
        <v>284</v>
      </c>
      <c r="D65" s="25" t="s">
        <v>70</v>
      </c>
      <c r="E65" s="25"/>
      <c r="F65" s="25"/>
      <c r="G65" s="25"/>
      <c r="H65" s="30"/>
      <c r="K65" s="28"/>
      <c r="L65" s="158">
        <f>NPV($D$84,M47:AZ47)</f>
        <v>0</v>
      </c>
    </row>
    <row r="66" spans="2:24" x14ac:dyDescent="0.25">
      <c r="B66" s="24"/>
      <c r="C66" s="57" t="s">
        <v>285</v>
      </c>
      <c r="D66" s="25" t="s">
        <v>70</v>
      </c>
      <c r="E66" s="25"/>
      <c r="F66" s="25"/>
      <c r="G66" s="25"/>
      <c r="H66" s="30"/>
      <c r="K66" s="28"/>
      <c r="L66" s="158">
        <f>NPV($D$84,M49:AZ49)</f>
        <v>0</v>
      </c>
    </row>
    <row r="67" spans="2:24" x14ac:dyDescent="0.25">
      <c r="B67" s="41"/>
      <c r="C67" s="42" t="s">
        <v>160</v>
      </c>
      <c r="D67" s="42" t="s">
        <v>87</v>
      </c>
      <c r="E67" s="42"/>
      <c r="F67" s="42"/>
      <c r="G67" s="42"/>
      <c r="H67" s="46"/>
      <c r="I67" s="3"/>
      <c r="J67" s="3"/>
      <c r="K67" s="161"/>
      <c r="L67" s="156">
        <f>NPV($D$84,M50:AZ50)</f>
        <v>0</v>
      </c>
    </row>
    <row r="68" spans="2:24" x14ac:dyDescent="0.25">
      <c r="B68" s="143"/>
      <c r="C68" s="144"/>
      <c r="D68" s="144"/>
      <c r="E68" s="144"/>
      <c r="F68" s="144"/>
      <c r="G68" s="144"/>
      <c r="H68" s="145"/>
      <c r="K68" s="28"/>
      <c r="L68" s="142"/>
    </row>
    <row r="69" spans="2:24" x14ac:dyDescent="0.25">
      <c r="B69" s="10"/>
      <c r="C69" s="10"/>
      <c r="D69" s="10"/>
      <c r="E69" s="10"/>
      <c r="F69" s="10"/>
      <c r="G69" s="10"/>
      <c r="H69" s="10"/>
      <c r="I69" s="10"/>
      <c r="J69" s="10"/>
      <c r="K69" s="10"/>
      <c r="L69" s="142"/>
    </row>
    <row r="70" spans="2:24" x14ac:dyDescent="0.25">
      <c r="B70" s="10"/>
      <c r="C70" s="10"/>
      <c r="D70" s="10"/>
      <c r="E70" s="10"/>
      <c r="F70" s="10"/>
      <c r="G70" s="10"/>
      <c r="H70" s="10"/>
      <c r="I70" s="10"/>
      <c r="J70" s="10"/>
      <c r="K70" s="10"/>
      <c r="L70" s="142"/>
    </row>
    <row r="71" spans="2:24" x14ac:dyDescent="0.25">
      <c r="B71" s="10" t="s">
        <v>261</v>
      </c>
      <c r="C71" s="10"/>
      <c r="D71" s="10"/>
      <c r="E71" s="10"/>
      <c r="F71" s="10"/>
      <c r="G71" s="10"/>
      <c r="H71" s="10"/>
      <c r="I71" s="10"/>
      <c r="J71" s="10"/>
      <c r="K71" s="10" t="s">
        <v>287</v>
      </c>
      <c r="L71" s="142"/>
    </row>
    <row r="72" spans="2:24" x14ac:dyDescent="0.25">
      <c r="B72" s="1" t="s">
        <v>262</v>
      </c>
      <c r="C72" s="1"/>
      <c r="D72" s="1">
        <f>SUM('Green+Social Interface'!D18:D22,'Green+Social Interface'!I18:I22,'Green+Social Interface'!O18:O22,'Green+Social Interface'!T18:T22)</f>
        <v>0</v>
      </c>
      <c r="E72" s="10"/>
      <c r="F72" s="10"/>
      <c r="G72" s="10"/>
      <c r="H72" s="10"/>
      <c r="I72" s="10"/>
      <c r="J72" s="10"/>
      <c r="K72" t="s">
        <v>1076</v>
      </c>
      <c r="L72" s="142"/>
    </row>
    <row r="73" spans="2:24" x14ac:dyDescent="0.25">
      <c r="B73" s="1" t="s">
        <v>1027</v>
      </c>
      <c r="C73" s="1"/>
      <c r="D73" s="1">
        <f>'Green+Social Interface'!U69+'Green+Social Interface'!U72+'Green+Social Interface'!U73</f>
        <v>0</v>
      </c>
      <c r="E73" s="10"/>
      <c r="F73" s="10"/>
      <c r="G73" s="10"/>
      <c r="H73" s="10"/>
      <c r="I73" s="10"/>
      <c r="J73" s="10"/>
      <c r="K73" t="s">
        <v>1077</v>
      </c>
      <c r="L73" s="142"/>
    </row>
    <row r="74" spans="2:24" x14ac:dyDescent="0.25">
      <c r="B74" s="1" t="s">
        <v>283</v>
      </c>
      <c r="C74" s="1"/>
      <c r="D74" s="220">
        <f>'Green+Social Interface'!$I$35</f>
        <v>0</v>
      </c>
      <c r="E74" s="10"/>
      <c r="F74" s="10"/>
      <c r="G74" s="10"/>
      <c r="H74" s="10"/>
      <c r="I74" s="10"/>
      <c r="J74" s="10"/>
      <c r="K74" t="s">
        <v>1078</v>
      </c>
      <c r="L74" s="142"/>
    </row>
    <row r="75" spans="2:24" ht="15.75" x14ac:dyDescent="0.25">
      <c r="B75" s="167" t="s">
        <v>252</v>
      </c>
      <c r="C75" s="1"/>
      <c r="D75" s="1">
        <f>D76-'Green+Social Interface'!F62</f>
        <v>0</v>
      </c>
      <c r="E75" s="10"/>
      <c r="F75" s="10"/>
      <c r="G75" s="10"/>
      <c r="H75" s="10"/>
      <c r="I75" s="10"/>
      <c r="J75" s="10"/>
      <c r="K75" s="10"/>
      <c r="L75" s="142"/>
    </row>
    <row r="76" spans="2:24" x14ac:dyDescent="0.25">
      <c r="B76" s="1" t="s">
        <v>263</v>
      </c>
      <c r="C76" s="1"/>
      <c r="D76" s="1">
        <f>'Green+Social Interface'!$I$69+'Green+Social Interface'!$I$71+'Green+Social Interface'!$I$73+'Green+Social Interface'!$I$74</f>
        <v>0</v>
      </c>
      <c r="E76" s="10"/>
      <c r="F76" s="10"/>
      <c r="G76" s="10"/>
      <c r="H76" s="10"/>
      <c r="I76" s="10"/>
      <c r="J76" s="10"/>
      <c r="K76" s="10"/>
      <c r="L76" s="142"/>
    </row>
    <row r="77" spans="2:24" x14ac:dyDescent="0.25">
      <c r="B77" s="1" t="s">
        <v>265</v>
      </c>
      <c r="C77" s="1"/>
      <c r="D77" s="1">
        <f>('Green+Social Interface'!$I$68*'Green+Social Interface'!$J$68-'Green+Social Interface'!$I$69)+('Green+Social Interface'!$I$70*'Green+Social Interface'!$J$70-'Green+Social Interface'!$I$71)+('Green+Social Interface'!$I$72*'Green+Social Interface'!$J$72-'Green+Social Interface'!$I$73)+'Green+Social Interface'!$I$75+'Green+Social Interface'!$I$76</f>
        <v>0</v>
      </c>
      <c r="E77" s="10"/>
      <c r="F77" s="10"/>
      <c r="G77" s="10"/>
      <c r="H77" s="10"/>
      <c r="I77" s="10"/>
      <c r="J77" s="10"/>
      <c r="K77" s="10"/>
      <c r="L77" s="142"/>
    </row>
    <row r="78" spans="2:24" x14ac:dyDescent="0.25">
      <c r="B78" s="1" t="s">
        <v>255</v>
      </c>
      <c r="C78" s="1"/>
      <c r="D78" s="221" t="e">
        <f>('Green+Social Interface'!$F$61-'Green+Social Interface'!$F$62)/'Green+Social Interface'!$U$11%</f>
        <v>#DIV/0!</v>
      </c>
      <c r="E78" s="10"/>
      <c r="F78" s="10"/>
      <c r="G78" s="10"/>
      <c r="H78" s="10"/>
      <c r="I78" s="10"/>
      <c r="J78" s="10"/>
      <c r="K78" s="10"/>
      <c r="L78" s="142"/>
    </row>
    <row r="79" spans="2:24" x14ac:dyDescent="0.25">
      <c r="B79" s="1" t="s">
        <v>256</v>
      </c>
      <c r="C79" s="1"/>
      <c r="D79" s="221" t="e">
        <f>'Green+Social Interface'!$F$62/'Green+Social Interface'!$U$11%</f>
        <v>#DIV/0!</v>
      </c>
    </row>
    <row r="80" spans="2:24" x14ac:dyDescent="0.25">
      <c r="B80" s="1" t="s">
        <v>257</v>
      </c>
      <c r="C80" s="1"/>
      <c r="D80" s="221" t="e">
        <f>(D77)/'Green+Social Interface'!$U$11%</f>
        <v>#DIV/0!</v>
      </c>
      <c r="S80" s="131"/>
      <c r="T80" s="132"/>
      <c r="U80" s="132"/>
      <c r="V80" s="132"/>
      <c r="W80" s="132"/>
      <c r="X80" s="132"/>
    </row>
    <row r="81" spans="2:5" x14ac:dyDescent="0.25">
      <c r="B81" s="1" t="s">
        <v>258</v>
      </c>
      <c r="C81" s="1"/>
      <c r="D81" s="221" t="e">
        <f>D76/'Green+Social Interface'!$U$11%</f>
        <v>#DIV/0!</v>
      </c>
    </row>
    <row r="82" spans="2:5" x14ac:dyDescent="0.25">
      <c r="B82" s="1" t="s">
        <v>856</v>
      </c>
      <c r="C82" s="1"/>
      <c r="D82" s="1">
        <f>'Green+Social Interface'!$I$76</f>
        <v>0</v>
      </c>
    </row>
    <row r="84" spans="2:5" x14ac:dyDescent="0.25">
      <c r="B84" s="1" t="s">
        <v>99</v>
      </c>
      <c r="C84" s="1"/>
      <c r="D84" s="467">
        <f>(1+'Green+Social Interface'!$I$34)*(1+'Green+Social Interface'!$I$35)-1</f>
        <v>7.0000000000000062E-2</v>
      </c>
    </row>
    <row r="85" spans="2:5" x14ac:dyDescent="0.25">
      <c r="B85" s="1" t="s">
        <v>976</v>
      </c>
      <c r="C85" s="1"/>
      <c r="D85" s="1" t="str">
        <f>'Green+Social Interface'!$D$39</f>
        <v>Sydney</v>
      </c>
    </row>
    <row r="86" spans="2:5" x14ac:dyDescent="0.25">
      <c r="B86" s="1" t="s">
        <v>1137</v>
      </c>
      <c r="C86" s="1"/>
      <c r="D86" s="150" cm="1">
        <f t="array" ref="D86">SUM('Green+Social Interface'!$K$18:$K$22+'Green+Social Interface'!$V$18:$V$22)</f>
        <v>0</v>
      </c>
      <c r="E86" s="118" t="s">
        <v>1128</v>
      </c>
    </row>
    <row r="87" spans="2:5" x14ac:dyDescent="0.25">
      <c r="B87" s="1"/>
      <c r="C87" s="1"/>
      <c r="D87" s="150"/>
      <c r="E87" s="118" t="s">
        <v>1127</v>
      </c>
    </row>
  </sheetData>
  <sheetProtection selectLockedCells="1" selectUnlockedCells="1"/>
  <pageMargins left="0.7" right="0.7" top="0.75" bottom="0.75" header="0.3" footer="0.3"/>
  <pageSetup paperSize="9" orientation="portrait" horizontalDpi="1200" verticalDpi="1200"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79998168889431442"/>
  </sheetPr>
  <dimension ref="A1:AZ97"/>
  <sheetViews>
    <sheetView workbookViewId="0">
      <selection activeCell="B63" sqref="B63"/>
    </sheetView>
  </sheetViews>
  <sheetFormatPr defaultColWidth="8.85546875" defaultRowHeight="15" x14ac:dyDescent="0.25"/>
  <cols>
    <col min="2" max="2" width="38.5703125" customWidth="1"/>
    <col min="3" max="3" width="42.42578125" customWidth="1"/>
    <col min="5" max="5" width="11.42578125" bestFit="1" customWidth="1"/>
    <col min="10" max="10" width="10.42578125" customWidth="1"/>
    <col min="11" max="11" width="14.42578125" bestFit="1" customWidth="1"/>
    <col min="12" max="52" width="14.42578125" customWidth="1"/>
  </cols>
  <sheetData>
    <row r="1" spans="1:52" x14ac:dyDescent="0.25">
      <c r="B1" s="3" t="s">
        <v>13</v>
      </c>
      <c r="C1" s="4"/>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row>
    <row r="2" spans="1:52" x14ac:dyDescent="0.25">
      <c r="B2" s="3" t="s">
        <v>14</v>
      </c>
      <c r="C2" s="4"/>
      <c r="F2" s="5"/>
      <c r="G2" s="5"/>
      <c r="H2" s="171" t="s">
        <v>217</v>
      </c>
      <c r="I2" s="172"/>
      <c r="J2" s="172"/>
      <c r="K2" s="172"/>
      <c r="L2" s="5">
        <v>15</v>
      </c>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row>
    <row r="3" spans="1:52" x14ac:dyDescent="0.25">
      <c r="E3" s="126"/>
      <c r="F3" s="5"/>
      <c r="G3" s="5" t="s">
        <v>15</v>
      </c>
      <c r="H3" s="6">
        <v>0</v>
      </c>
      <c r="I3" s="6"/>
      <c r="J3" s="6"/>
      <c r="K3" s="6"/>
      <c r="L3" s="6"/>
      <c r="M3" s="6">
        <v>1</v>
      </c>
      <c r="N3" s="6">
        <v>2</v>
      </c>
      <c r="O3" s="6">
        <v>3</v>
      </c>
      <c r="P3" s="6">
        <v>4</v>
      </c>
      <c r="Q3" s="6">
        <v>5</v>
      </c>
      <c r="R3" s="6">
        <v>6</v>
      </c>
      <c r="S3" s="6">
        <v>7</v>
      </c>
      <c r="T3" s="6">
        <v>8</v>
      </c>
      <c r="U3" s="6">
        <v>9</v>
      </c>
      <c r="V3" s="6">
        <v>10</v>
      </c>
      <c r="W3" s="6">
        <v>11</v>
      </c>
      <c r="X3" s="6">
        <v>12</v>
      </c>
      <c r="Y3" s="6">
        <v>13</v>
      </c>
      <c r="Z3" s="6">
        <v>14</v>
      </c>
      <c r="AA3" s="6">
        <v>15</v>
      </c>
      <c r="AB3" s="6">
        <v>16</v>
      </c>
      <c r="AC3" s="6">
        <v>17</v>
      </c>
      <c r="AD3" s="6">
        <v>18</v>
      </c>
      <c r="AE3" s="6">
        <v>19</v>
      </c>
      <c r="AF3" s="6">
        <v>20</v>
      </c>
      <c r="AG3" s="6">
        <v>21</v>
      </c>
      <c r="AH3" s="6">
        <v>22</v>
      </c>
      <c r="AI3" s="6">
        <v>23</v>
      </c>
      <c r="AJ3" s="6">
        <v>24</v>
      </c>
      <c r="AK3" s="6">
        <v>25</v>
      </c>
      <c r="AL3" s="6">
        <v>26</v>
      </c>
      <c r="AM3" s="6">
        <v>27</v>
      </c>
      <c r="AN3" s="6">
        <v>28</v>
      </c>
      <c r="AO3" s="6">
        <v>29</v>
      </c>
      <c r="AP3" s="6">
        <v>30</v>
      </c>
      <c r="AQ3" s="6">
        <v>31</v>
      </c>
      <c r="AR3" s="6">
        <v>32</v>
      </c>
      <c r="AS3" s="6">
        <v>33</v>
      </c>
      <c r="AT3" s="6">
        <v>34</v>
      </c>
      <c r="AU3" s="6">
        <v>35</v>
      </c>
      <c r="AV3" s="6">
        <v>36</v>
      </c>
      <c r="AW3" s="6">
        <v>37</v>
      </c>
      <c r="AX3" s="6">
        <v>38</v>
      </c>
      <c r="AY3" s="6">
        <v>39</v>
      </c>
      <c r="AZ3" s="6">
        <v>40</v>
      </c>
    </row>
    <row r="4" spans="1:52" x14ac:dyDescent="0.25">
      <c r="B4" s="7" t="s">
        <v>16</v>
      </c>
      <c r="C4" s="8" t="s">
        <v>17</v>
      </c>
      <c r="D4" s="8" t="s">
        <v>18</v>
      </c>
      <c r="E4" s="8" t="s">
        <v>931</v>
      </c>
      <c r="F4" s="8" t="s">
        <v>932</v>
      </c>
      <c r="G4" s="8" t="s">
        <v>216</v>
      </c>
      <c r="H4" s="9" t="s">
        <v>22</v>
      </c>
      <c r="I4" s="10"/>
      <c r="J4" s="160" t="s">
        <v>151</v>
      </c>
      <c r="K4" s="160" t="s">
        <v>150</v>
      </c>
      <c r="L4" s="9" t="s">
        <v>23</v>
      </c>
      <c r="M4" s="12" t="s">
        <v>24</v>
      </c>
      <c r="N4" s="12" t="s">
        <v>25</v>
      </c>
      <c r="O4" s="12" t="s">
        <v>26</v>
      </c>
      <c r="P4" s="12" t="s">
        <v>27</v>
      </c>
      <c r="Q4" s="12" t="s">
        <v>28</v>
      </c>
      <c r="R4" s="12" t="s">
        <v>29</v>
      </c>
      <c r="S4" s="12" t="s">
        <v>30</v>
      </c>
      <c r="T4" s="12" t="s">
        <v>31</v>
      </c>
      <c r="U4" s="12" t="s">
        <v>32</v>
      </c>
      <c r="V4" s="12" t="s">
        <v>33</v>
      </c>
      <c r="W4" s="12" t="s">
        <v>34</v>
      </c>
      <c r="X4" s="12" t="s">
        <v>35</v>
      </c>
      <c r="Y4" s="12" t="s">
        <v>36</v>
      </c>
      <c r="Z4" s="12" t="s">
        <v>37</v>
      </c>
      <c r="AA4" s="12" t="s">
        <v>38</v>
      </c>
      <c r="AB4" s="12" t="s">
        <v>39</v>
      </c>
      <c r="AC4" s="12" t="s">
        <v>40</v>
      </c>
      <c r="AD4" s="12" t="s">
        <v>41</v>
      </c>
      <c r="AE4" s="12" t="s">
        <v>42</v>
      </c>
      <c r="AF4" s="12" t="s">
        <v>43</v>
      </c>
      <c r="AG4" s="12" t="s">
        <v>44</v>
      </c>
      <c r="AH4" s="12" t="s">
        <v>45</v>
      </c>
      <c r="AI4" s="12" t="s">
        <v>46</v>
      </c>
      <c r="AJ4" s="12" t="s">
        <v>47</v>
      </c>
      <c r="AK4" s="12" t="s">
        <v>48</v>
      </c>
      <c r="AL4" s="12" t="s">
        <v>49</v>
      </c>
      <c r="AM4" s="12" t="s">
        <v>50</v>
      </c>
      <c r="AN4" s="12" t="s">
        <v>51</v>
      </c>
      <c r="AO4" s="12" t="s">
        <v>52</v>
      </c>
      <c r="AP4" s="12" t="s">
        <v>53</v>
      </c>
      <c r="AQ4" s="12" t="s">
        <v>54</v>
      </c>
      <c r="AR4" s="12" t="s">
        <v>55</v>
      </c>
      <c r="AS4" s="12" t="s">
        <v>56</v>
      </c>
      <c r="AT4" s="12" t="s">
        <v>57</v>
      </c>
      <c r="AU4" s="12" t="s">
        <v>58</v>
      </c>
      <c r="AV4" s="12" t="s">
        <v>59</v>
      </c>
      <c r="AW4" s="12" t="s">
        <v>60</v>
      </c>
      <c r="AX4" s="12" t="s">
        <v>61</v>
      </c>
      <c r="AY4" s="12" t="s">
        <v>62</v>
      </c>
      <c r="AZ4" s="13" t="s">
        <v>63</v>
      </c>
    </row>
    <row r="5" spans="1:52" x14ac:dyDescent="0.25">
      <c r="B5" s="14" t="s">
        <v>68</v>
      </c>
      <c r="G5" s="118" t="s">
        <v>215</v>
      </c>
      <c r="H5" s="15"/>
      <c r="J5" s="28"/>
      <c r="K5" s="28"/>
      <c r="L5" s="15"/>
    </row>
    <row r="6" spans="1:52" x14ac:dyDescent="0.25">
      <c r="A6" s="118" t="s">
        <v>219</v>
      </c>
      <c r="B6" s="24" t="s">
        <v>5</v>
      </c>
      <c r="C6" s="29" t="s">
        <v>10</v>
      </c>
      <c r="D6" s="25" t="s">
        <v>70</v>
      </c>
      <c r="E6" s="293">
        <f>'Green+Social Interface'!$J$18*'Green+Social Interface'!$I$18</f>
        <v>0</v>
      </c>
      <c r="F6" s="346">
        <f>$I$84</f>
        <v>1.5585293443410517</v>
      </c>
      <c r="G6" s="356">
        <f>F6*VLOOKUP('Green+Social Interface'!$I$38,'Look-ups'!$A$15:$B$43,2,0)</f>
        <v>1.6676263984449256</v>
      </c>
      <c r="H6" s="21">
        <f>'Green+Social Interface'!$O$6</f>
        <v>7.0000000000000007E-2</v>
      </c>
      <c r="I6" s="22"/>
      <c r="J6" s="168">
        <f t="shared" ref="J6:J25" si="0">IF(AND(K6&gt;0,$C$67&gt;0),K6/$C$67,0)</f>
        <v>0</v>
      </c>
      <c r="K6" s="32">
        <f>AVERAGE(M6:AZ6)</f>
        <v>0</v>
      </c>
      <c r="L6" s="151">
        <f>SUM(M6:AZ6)</f>
        <v>0</v>
      </c>
      <c r="M6" s="23">
        <f>(G6*E6)*(1-H6)</f>
        <v>0</v>
      </c>
      <c r="N6" s="23">
        <f t="shared" ref="N6:AZ6" si="1">M6*(1+$C$70)</f>
        <v>0</v>
      </c>
      <c r="O6" s="23">
        <f t="shared" si="1"/>
        <v>0</v>
      </c>
      <c r="P6" s="23">
        <f t="shared" si="1"/>
        <v>0</v>
      </c>
      <c r="Q6" s="23">
        <f t="shared" si="1"/>
        <v>0</v>
      </c>
      <c r="R6" s="23">
        <f t="shared" si="1"/>
        <v>0</v>
      </c>
      <c r="S6" s="23">
        <f t="shared" si="1"/>
        <v>0</v>
      </c>
      <c r="T6" s="23">
        <f t="shared" si="1"/>
        <v>0</v>
      </c>
      <c r="U6" s="23">
        <f t="shared" si="1"/>
        <v>0</v>
      </c>
      <c r="V6" s="23">
        <f t="shared" si="1"/>
        <v>0</v>
      </c>
      <c r="W6" s="23">
        <f t="shared" si="1"/>
        <v>0</v>
      </c>
      <c r="X6" s="23">
        <f t="shared" si="1"/>
        <v>0</v>
      </c>
      <c r="Y6" s="23">
        <f t="shared" si="1"/>
        <v>0</v>
      </c>
      <c r="Z6" s="23">
        <f t="shared" si="1"/>
        <v>0</v>
      </c>
      <c r="AA6" s="23">
        <f t="shared" si="1"/>
        <v>0</v>
      </c>
      <c r="AB6" s="23">
        <f t="shared" si="1"/>
        <v>0</v>
      </c>
      <c r="AC6" s="23">
        <f t="shared" si="1"/>
        <v>0</v>
      </c>
      <c r="AD6" s="23">
        <f t="shared" si="1"/>
        <v>0</v>
      </c>
      <c r="AE6" s="23">
        <f t="shared" si="1"/>
        <v>0</v>
      </c>
      <c r="AF6" s="23">
        <f t="shared" si="1"/>
        <v>0</v>
      </c>
      <c r="AG6" s="23">
        <f t="shared" si="1"/>
        <v>0</v>
      </c>
      <c r="AH6" s="23">
        <f t="shared" si="1"/>
        <v>0</v>
      </c>
      <c r="AI6" s="23">
        <f t="shared" si="1"/>
        <v>0</v>
      </c>
      <c r="AJ6" s="23">
        <f t="shared" si="1"/>
        <v>0</v>
      </c>
      <c r="AK6" s="23">
        <f t="shared" si="1"/>
        <v>0</v>
      </c>
      <c r="AL6" s="23">
        <f t="shared" si="1"/>
        <v>0</v>
      </c>
      <c r="AM6" s="23">
        <f t="shared" si="1"/>
        <v>0</v>
      </c>
      <c r="AN6" s="23">
        <f t="shared" si="1"/>
        <v>0</v>
      </c>
      <c r="AO6" s="23">
        <f t="shared" si="1"/>
        <v>0</v>
      </c>
      <c r="AP6" s="23">
        <f t="shared" si="1"/>
        <v>0</v>
      </c>
      <c r="AQ6" s="23">
        <f t="shared" si="1"/>
        <v>0</v>
      </c>
      <c r="AR6" s="23">
        <f t="shared" si="1"/>
        <v>0</v>
      </c>
      <c r="AS6" s="23">
        <f t="shared" si="1"/>
        <v>0</v>
      </c>
      <c r="AT6" s="23">
        <f t="shared" si="1"/>
        <v>0</v>
      </c>
      <c r="AU6" s="23">
        <f t="shared" si="1"/>
        <v>0</v>
      </c>
      <c r="AV6" s="23">
        <f t="shared" si="1"/>
        <v>0</v>
      </c>
      <c r="AW6" s="23">
        <f t="shared" si="1"/>
        <v>0</v>
      </c>
      <c r="AX6" s="23">
        <f t="shared" si="1"/>
        <v>0</v>
      </c>
      <c r="AY6" s="23">
        <f t="shared" si="1"/>
        <v>0</v>
      </c>
      <c r="AZ6" s="23">
        <f t="shared" si="1"/>
        <v>0</v>
      </c>
    </row>
    <row r="7" spans="1:52" x14ac:dyDescent="0.25">
      <c r="A7" s="118" t="s">
        <v>219</v>
      </c>
      <c r="B7" s="24"/>
      <c r="C7" s="25" t="s">
        <v>6</v>
      </c>
      <c r="D7" s="25" t="s">
        <v>70</v>
      </c>
      <c r="E7" s="293">
        <f>'Green+Social Interface'!$J$19*'Green+Social Interface'!$I$19</f>
        <v>0</v>
      </c>
      <c r="F7" s="346">
        <f>$I$84</f>
        <v>1.5585293443410517</v>
      </c>
      <c r="G7" s="356">
        <f>F7*VLOOKUP('Green+Social Interface'!$I$38,'Look-ups'!$A$15:$B$43,2,0)</f>
        <v>1.6676263984449256</v>
      </c>
      <c r="H7" s="21">
        <f>'Green+Social Interface'!$O$6</f>
        <v>7.0000000000000007E-2</v>
      </c>
      <c r="I7" s="125"/>
      <c r="J7" s="168">
        <f t="shared" si="0"/>
        <v>0</v>
      </c>
      <c r="K7" s="32">
        <f t="shared" ref="K7:K27" si="2">AVERAGE(M7:AZ7)</f>
        <v>0</v>
      </c>
      <c r="L7" s="151">
        <f t="shared" ref="L7:L27" si="3">SUM(M7:AZ7)</f>
        <v>0</v>
      </c>
      <c r="M7" s="23">
        <f t="shared" ref="M7:M25" si="4">(G7*E7)*(1-H7)</f>
        <v>0</v>
      </c>
      <c r="N7" s="23">
        <f t="shared" ref="N7:AZ7" si="5">M7*(1+$C$70)</f>
        <v>0</v>
      </c>
      <c r="O7" s="23">
        <f t="shared" si="5"/>
        <v>0</v>
      </c>
      <c r="P7" s="23">
        <f t="shared" si="5"/>
        <v>0</v>
      </c>
      <c r="Q7" s="23">
        <f t="shared" si="5"/>
        <v>0</v>
      </c>
      <c r="R7" s="23">
        <f t="shared" si="5"/>
        <v>0</v>
      </c>
      <c r="S7" s="23">
        <f t="shared" si="5"/>
        <v>0</v>
      </c>
      <c r="T7" s="23">
        <f t="shared" si="5"/>
        <v>0</v>
      </c>
      <c r="U7" s="23">
        <f t="shared" si="5"/>
        <v>0</v>
      </c>
      <c r="V7" s="23">
        <f t="shared" si="5"/>
        <v>0</v>
      </c>
      <c r="W7" s="23">
        <f t="shared" si="5"/>
        <v>0</v>
      </c>
      <c r="X7" s="23">
        <f t="shared" si="5"/>
        <v>0</v>
      </c>
      <c r="Y7" s="23">
        <f t="shared" si="5"/>
        <v>0</v>
      </c>
      <c r="Z7" s="23">
        <f t="shared" si="5"/>
        <v>0</v>
      </c>
      <c r="AA7" s="23">
        <f t="shared" si="5"/>
        <v>0</v>
      </c>
      <c r="AB7" s="23">
        <f t="shared" si="5"/>
        <v>0</v>
      </c>
      <c r="AC7" s="23">
        <f t="shared" si="5"/>
        <v>0</v>
      </c>
      <c r="AD7" s="23">
        <f t="shared" si="5"/>
        <v>0</v>
      </c>
      <c r="AE7" s="23">
        <f t="shared" si="5"/>
        <v>0</v>
      </c>
      <c r="AF7" s="23">
        <f t="shared" si="5"/>
        <v>0</v>
      </c>
      <c r="AG7" s="23">
        <f t="shared" si="5"/>
        <v>0</v>
      </c>
      <c r="AH7" s="23">
        <f t="shared" si="5"/>
        <v>0</v>
      </c>
      <c r="AI7" s="23">
        <f t="shared" si="5"/>
        <v>0</v>
      </c>
      <c r="AJ7" s="23">
        <f t="shared" si="5"/>
        <v>0</v>
      </c>
      <c r="AK7" s="23">
        <f t="shared" si="5"/>
        <v>0</v>
      </c>
      <c r="AL7" s="23">
        <f t="shared" si="5"/>
        <v>0</v>
      </c>
      <c r="AM7" s="23">
        <f t="shared" si="5"/>
        <v>0</v>
      </c>
      <c r="AN7" s="23">
        <f t="shared" si="5"/>
        <v>0</v>
      </c>
      <c r="AO7" s="23">
        <f t="shared" si="5"/>
        <v>0</v>
      </c>
      <c r="AP7" s="23">
        <f t="shared" si="5"/>
        <v>0</v>
      </c>
      <c r="AQ7" s="23">
        <f t="shared" si="5"/>
        <v>0</v>
      </c>
      <c r="AR7" s="23">
        <f t="shared" si="5"/>
        <v>0</v>
      </c>
      <c r="AS7" s="23">
        <f t="shared" si="5"/>
        <v>0</v>
      </c>
      <c r="AT7" s="23">
        <f t="shared" si="5"/>
        <v>0</v>
      </c>
      <c r="AU7" s="23">
        <f t="shared" si="5"/>
        <v>0</v>
      </c>
      <c r="AV7" s="23">
        <f t="shared" si="5"/>
        <v>0</v>
      </c>
      <c r="AW7" s="23">
        <f t="shared" si="5"/>
        <v>0</v>
      </c>
      <c r="AX7" s="23">
        <f t="shared" si="5"/>
        <v>0</v>
      </c>
      <c r="AY7" s="23">
        <f t="shared" si="5"/>
        <v>0</v>
      </c>
      <c r="AZ7" s="23">
        <f t="shared" si="5"/>
        <v>0</v>
      </c>
    </row>
    <row r="8" spans="1:52" x14ac:dyDescent="0.25">
      <c r="A8" s="118" t="s">
        <v>219</v>
      </c>
      <c r="B8" s="24"/>
      <c r="C8" s="25" t="s">
        <v>7</v>
      </c>
      <c r="D8" s="25" t="s">
        <v>70</v>
      </c>
      <c r="E8" s="293">
        <f>'Green+Social Interface'!$J$20*'Green+Social Interface'!$I$20</f>
        <v>0</v>
      </c>
      <c r="F8" s="346">
        <f>$I$84</f>
        <v>1.5585293443410517</v>
      </c>
      <c r="G8" s="356">
        <f>F8*VLOOKUP('Green+Social Interface'!$I$38,'Look-ups'!$A$15:$B$43,2,0)</f>
        <v>1.6676263984449256</v>
      </c>
      <c r="H8" s="21">
        <f>'Green+Social Interface'!$O$6</f>
        <v>7.0000000000000007E-2</v>
      </c>
      <c r="I8" s="125"/>
      <c r="J8" s="168">
        <f t="shared" si="0"/>
        <v>0</v>
      </c>
      <c r="K8" s="32">
        <f t="shared" si="2"/>
        <v>0</v>
      </c>
      <c r="L8" s="151">
        <f t="shared" si="3"/>
        <v>0</v>
      </c>
      <c r="M8" s="23">
        <f t="shared" si="4"/>
        <v>0</v>
      </c>
      <c r="N8" s="23">
        <f t="shared" ref="N8:AZ8" si="6">M8*(1+$C$70)</f>
        <v>0</v>
      </c>
      <c r="O8" s="23">
        <f t="shared" si="6"/>
        <v>0</v>
      </c>
      <c r="P8" s="23">
        <f t="shared" si="6"/>
        <v>0</v>
      </c>
      <c r="Q8" s="23">
        <f t="shared" si="6"/>
        <v>0</v>
      </c>
      <c r="R8" s="23">
        <f t="shared" si="6"/>
        <v>0</v>
      </c>
      <c r="S8" s="23">
        <f t="shared" si="6"/>
        <v>0</v>
      </c>
      <c r="T8" s="23">
        <f t="shared" si="6"/>
        <v>0</v>
      </c>
      <c r="U8" s="23">
        <f t="shared" si="6"/>
        <v>0</v>
      </c>
      <c r="V8" s="23">
        <f t="shared" si="6"/>
        <v>0</v>
      </c>
      <c r="W8" s="23">
        <f t="shared" si="6"/>
        <v>0</v>
      </c>
      <c r="X8" s="23">
        <f t="shared" si="6"/>
        <v>0</v>
      </c>
      <c r="Y8" s="23">
        <f t="shared" si="6"/>
        <v>0</v>
      </c>
      <c r="Z8" s="23">
        <f t="shared" si="6"/>
        <v>0</v>
      </c>
      <c r="AA8" s="23">
        <f t="shared" si="6"/>
        <v>0</v>
      </c>
      <c r="AB8" s="23">
        <f t="shared" si="6"/>
        <v>0</v>
      </c>
      <c r="AC8" s="23">
        <f t="shared" si="6"/>
        <v>0</v>
      </c>
      <c r="AD8" s="23">
        <f t="shared" si="6"/>
        <v>0</v>
      </c>
      <c r="AE8" s="23">
        <f t="shared" si="6"/>
        <v>0</v>
      </c>
      <c r="AF8" s="23">
        <f t="shared" si="6"/>
        <v>0</v>
      </c>
      <c r="AG8" s="23">
        <f t="shared" si="6"/>
        <v>0</v>
      </c>
      <c r="AH8" s="23">
        <f t="shared" si="6"/>
        <v>0</v>
      </c>
      <c r="AI8" s="23">
        <f t="shared" si="6"/>
        <v>0</v>
      </c>
      <c r="AJ8" s="23">
        <f t="shared" si="6"/>
        <v>0</v>
      </c>
      <c r="AK8" s="23">
        <f t="shared" si="6"/>
        <v>0</v>
      </c>
      <c r="AL8" s="23">
        <f t="shared" si="6"/>
        <v>0</v>
      </c>
      <c r="AM8" s="23">
        <f t="shared" si="6"/>
        <v>0</v>
      </c>
      <c r="AN8" s="23">
        <f t="shared" si="6"/>
        <v>0</v>
      </c>
      <c r="AO8" s="23">
        <f t="shared" si="6"/>
        <v>0</v>
      </c>
      <c r="AP8" s="23">
        <f t="shared" si="6"/>
        <v>0</v>
      </c>
      <c r="AQ8" s="23">
        <f t="shared" si="6"/>
        <v>0</v>
      </c>
      <c r="AR8" s="23">
        <f t="shared" si="6"/>
        <v>0</v>
      </c>
      <c r="AS8" s="23">
        <f t="shared" si="6"/>
        <v>0</v>
      </c>
      <c r="AT8" s="23">
        <f t="shared" si="6"/>
        <v>0</v>
      </c>
      <c r="AU8" s="23">
        <f t="shared" si="6"/>
        <v>0</v>
      </c>
      <c r="AV8" s="23">
        <f t="shared" si="6"/>
        <v>0</v>
      </c>
      <c r="AW8" s="23">
        <f t="shared" si="6"/>
        <v>0</v>
      </c>
      <c r="AX8" s="23">
        <f t="shared" si="6"/>
        <v>0</v>
      </c>
      <c r="AY8" s="23">
        <f t="shared" si="6"/>
        <v>0</v>
      </c>
      <c r="AZ8" s="23">
        <f t="shared" si="6"/>
        <v>0</v>
      </c>
    </row>
    <row r="9" spans="1:52" x14ac:dyDescent="0.25">
      <c r="A9" s="118" t="s">
        <v>219</v>
      </c>
      <c r="B9" s="24"/>
      <c r="C9" s="25" t="s">
        <v>8</v>
      </c>
      <c r="D9" s="25" t="s">
        <v>70</v>
      </c>
      <c r="E9" s="293">
        <f>'Green+Social Interface'!$J$21*'Green+Social Interface'!$I$21</f>
        <v>0</v>
      </c>
      <c r="F9" s="346">
        <f>$I$84</f>
        <v>1.5585293443410517</v>
      </c>
      <c r="G9" s="356">
        <f>F9*VLOOKUP('Green+Social Interface'!$I$38,'Look-ups'!$A$15:$B$43,2,0)</f>
        <v>1.6676263984449256</v>
      </c>
      <c r="H9" s="21">
        <f>'Green+Social Interface'!$O$6</f>
        <v>7.0000000000000007E-2</v>
      </c>
      <c r="I9" s="22"/>
      <c r="J9" s="168">
        <f t="shared" si="0"/>
        <v>0</v>
      </c>
      <c r="K9" s="32">
        <f t="shared" si="2"/>
        <v>0</v>
      </c>
      <c r="L9" s="151">
        <f t="shared" si="3"/>
        <v>0</v>
      </c>
      <c r="M9" s="23">
        <f t="shared" si="4"/>
        <v>0</v>
      </c>
      <c r="N9" s="23">
        <f t="shared" ref="N9:AZ9" si="7">M9*(1+$C$70)</f>
        <v>0</v>
      </c>
      <c r="O9" s="23">
        <f t="shared" si="7"/>
        <v>0</v>
      </c>
      <c r="P9" s="23">
        <f t="shared" si="7"/>
        <v>0</v>
      </c>
      <c r="Q9" s="23">
        <f t="shared" si="7"/>
        <v>0</v>
      </c>
      <c r="R9" s="23">
        <f t="shared" si="7"/>
        <v>0</v>
      </c>
      <c r="S9" s="23">
        <f t="shared" si="7"/>
        <v>0</v>
      </c>
      <c r="T9" s="23">
        <f t="shared" si="7"/>
        <v>0</v>
      </c>
      <c r="U9" s="23">
        <f t="shared" si="7"/>
        <v>0</v>
      </c>
      <c r="V9" s="23">
        <f t="shared" si="7"/>
        <v>0</v>
      </c>
      <c r="W9" s="23">
        <f t="shared" si="7"/>
        <v>0</v>
      </c>
      <c r="X9" s="23">
        <f t="shared" si="7"/>
        <v>0</v>
      </c>
      <c r="Y9" s="23">
        <f t="shared" si="7"/>
        <v>0</v>
      </c>
      <c r="Z9" s="23">
        <f t="shared" si="7"/>
        <v>0</v>
      </c>
      <c r="AA9" s="23">
        <f t="shared" si="7"/>
        <v>0</v>
      </c>
      <c r="AB9" s="23">
        <f t="shared" si="7"/>
        <v>0</v>
      </c>
      <c r="AC9" s="23">
        <f t="shared" si="7"/>
        <v>0</v>
      </c>
      <c r="AD9" s="23">
        <f t="shared" si="7"/>
        <v>0</v>
      </c>
      <c r="AE9" s="23">
        <f t="shared" si="7"/>
        <v>0</v>
      </c>
      <c r="AF9" s="23">
        <f t="shared" si="7"/>
        <v>0</v>
      </c>
      <c r="AG9" s="23">
        <f t="shared" si="7"/>
        <v>0</v>
      </c>
      <c r="AH9" s="23">
        <f t="shared" si="7"/>
        <v>0</v>
      </c>
      <c r="AI9" s="23">
        <f t="shared" si="7"/>
        <v>0</v>
      </c>
      <c r="AJ9" s="23">
        <f t="shared" si="7"/>
        <v>0</v>
      </c>
      <c r="AK9" s="23">
        <f t="shared" si="7"/>
        <v>0</v>
      </c>
      <c r="AL9" s="23">
        <f t="shared" si="7"/>
        <v>0</v>
      </c>
      <c r="AM9" s="23">
        <f t="shared" si="7"/>
        <v>0</v>
      </c>
      <c r="AN9" s="23">
        <f t="shared" si="7"/>
        <v>0</v>
      </c>
      <c r="AO9" s="23">
        <f t="shared" si="7"/>
        <v>0</v>
      </c>
      <c r="AP9" s="23">
        <f t="shared" si="7"/>
        <v>0</v>
      </c>
      <c r="AQ9" s="23">
        <f t="shared" si="7"/>
        <v>0</v>
      </c>
      <c r="AR9" s="23">
        <f t="shared" si="7"/>
        <v>0</v>
      </c>
      <c r="AS9" s="23">
        <f t="shared" si="7"/>
        <v>0</v>
      </c>
      <c r="AT9" s="23">
        <f t="shared" si="7"/>
        <v>0</v>
      </c>
      <c r="AU9" s="23">
        <f t="shared" si="7"/>
        <v>0</v>
      </c>
      <c r="AV9" s="23">
        <f t="shared" si="7"/>
        <v>0</v>
      </c>
      <c r="AW9" s="23">
        <f t="shared" si="7"/>
        <v>0</v>
      </c>
      <c r="AX9" s="23">
        <f t="shared" si="7"/>
        <v>0</v>
      </c>
      <c r="AY9" s="23">
        <f t="shared" si="7"/>
        <v>0</v>
      </c>
      <c r="AZ9" s="23">
        <f t="shared" si="7"/>
        <v>0</v>
      </c>
    </row>
    <row r="10" spans="1:52" x14ac:dyDescent="0.25">
      <c r="A10" s="118" t="s">
        <v>219</v>
      </c>
      <c r="B10" s="24"/>
      <c r="C10" s="25" t="s">
        <v>9</v>
      </c>
      <c r="D10" s="25" t="s">
        <v>70</v>
      </c>
      <c r="E10" s="293">
        <f>'Green+Social Interface'!$J$22*'Green+Social Interface'!$I$22</f>
        <v>0</v>
      </c>
      <c r="F10" s="346">
        <f>$I$84</f>
        <v>1.5585293443410517</v>
      </c>
      <c r="G10" s="356">
        <f>F10*VLOOKUP('Green+Social Interface'!$I$38,'Look-ups'!$A$15:$B$43,2,0)</f>
        <v>1.6676263984449256</v>
      </c>
      <c r="H10" s="21">
        <f>'Green+Social Interface'!$O$6</f>
        <v>7.0000000000000007E-2</v>
      </c>
      <c r="J10" s="168">
        <f t="shared" si="0"/>
        <v>0</v>
      </c>
      <c r="K10" s="32">
        <f t="shared" si="2"/>
        <v>0</v>
      </c>
      <c r="L10" s="151">
        <f t="shared" si="3"/>
        <v>0</v>
      </c>
      <c r="M10" s="23">
        <f t="shared" si="4"/>
        <v>0</v>
      </c>
      <c r="N10" s="23">
        <f t="shared" ref="N10:AZ10" si="8">M10*(1+$C$70)</f>
        <v>0</v>
      </c>
      <c r="O10" s="23">
        <f t="shared" si="8"/>
        <v>0</v>
      </c>
      <c r="P10" s="23">
        <f t="shared" si="8"/>
        <v>0</v>
      </c>
      <c r="Q10" s="23">
        <f t="shared" si="8"/>
        <v>0</v>
      </c>
      <c r="R10" s="23">
        <f t="shared" si="8"/>
        <v>0</v>
      </c>
      <c r="S10" s="23">
        <f t="shared" si="8"/>
        <v>0</v>
      </c>
      <c r="T10" s="23">
        <f t="shared" si="8"/>
        <v>0</v>
      </c>
      <c r="U10" s="23">
        <f t="shared" si="8"/>
        <v>0</v>
      </c>
      <c r="V10" s="23">
        <f t="shared" si="8"/>
        <v>0</v>
      </c>
      <c r="W10" s="23">
        <f t="shared" si="8"/>
        <v>0</v>
      </c>
      <c r="X10" s="23">
        <f t="shared" si="8"/>
        <v>0</v>
      </c>
      <c r="Y10" s="23">
        <f t="shared" si="8"/>
        <v>0</v>
      </c>
      <c r="Z10" s="23">
        <f t="shared" si="8"/>
        <v>0</v>
      </c>
      <c r="AA10" s="23">
        <f t="shared" si="8"/>
        <v>0</v>
      </c>
      <c r="AB10" s="23">
        <f t="shared" si="8"/>
        <v>0</v>
      </c>
      <c r="AC10" s="23">
        <f t="shared" si="8"/>
        <v>0</v>
      </c>
      <c r="AD10" s="23">
        <f t="shared" si="8"/>
        <v>0</v>
      </c>
      <c r="AE10" s="23">
        <f t="shared" si="8"/>
        <v>0</v>
      </c>
      <c r="AF10" s="23">
        <f t="shared" si="8"/>
        <v>0</v>
      </c>
      <c r="AG10" s="23">
        <f t="shared" si="8"/>
        <v>0</v>
      </c>
      <c r="AH10" s="23">
        <f t="shared" si="8"/>
        <v>0</v>
      </c>
      <c r="AI10" s="23">
        <f t="shared" si="8"/>
        <v>0</v>
      </c>
      <c r="AJ10" s="23">
        <f t="shared" si="8"/>
        <v>0</v>
      </c>
      <c r="AK10" s="23">
        <f t="shared" si="8"/>
        <v>0</v>
      </c>
      <c r="AL10" s="23">
        <f t="shared" si="8"/>
        <v>0</v>
      </c>
      <c r="AM10" s="23">
        <f t="shared" si="8"/>
        <v>0</v>
      </c>
      <c r="AN10" s="23">
        <f t="shared" si="8"/>
        <v>0</v>
      </c>
      <c r="AO10" s="23">
        <f t="shared" si="8"/>
        <v>0</v>
      </c>
      <c r="AP10" s="23">
        <f t="shared" si="8"/>
        <v>0</v>
      </c>
      <c r="AQ10" s="23">
        <f t="shared" si="8"/>
        <v>0</v>
      </c>
      <c r="AR10" s="23">
        <f t="shared" si="8"/>
        <v>0</v>
      </c>
      <c r="AS10" s="23">
        <f t="shared" si="8"/>
        <v>0</v>
      </c>
      <c r="AT10" s="23">
        <f t="shared" si="8"/>
        <v>0</v>
      </c>
      <c r="AU10" s="23">
        <f t="shared" si="8"/>
        <v>0</v>
      </c>
      <c r="AV10" s="23">
        <f t="shared" si="8"/>
        <v>0</v>
      </c>
      <c r="AW10" s="23">
        <f t="shared" si="8"/>
        <v>0</v>
      </c>
      <c r="AX10" s="23">
        <f t="shared" si="8"/>
        <v>0</v>
      </c>
      <c r="AY10" s="23">
        <f t="shared" si="8"/>
        <v>0</v>
      </c>
      <c r="AZ10" s="23">
        <f t="shared" si="8"/>
        <v>0</v>
      </c>
    </row>
    <row r="11" spans="1:52" x14ac:dyDescent="0.25">
      <c r="A11" s="118" t="s">
        <v>219</v>
      </c>
      <c r="B11" s="24" t="s">
        <v>135</v>
      </c>
      <c r="C11" s="25" t="s">
        <v>6</v>
      </c>
      <c r="D11" s="25" t="s">
        <v>70</v>
      </c>
      <c r="E11" s="294">
        <f>'Green+Social Interface'!$D$18*'Green+Social Interface'!$E$18</f>
        <v>0</v>
      </c>
      <c r="F11" s="344">
        <f>$I$79</f>
        <v>1.5585293443410517</v>
      </c>
      <c r="G11" s="356">
        <f>F11*VLOOKUP('Green+Social Interface'!$I$38,'Look-ups'!$A$15:$B$43,2,0)</f>
        <v>1.6676263984449256</v>
      </c>
      <c r="H11" s="21">
        <f>'Green+Social Interface'!$O$6</f>
        <v>7.0000000000000007E-2</v>
      </c>
      <c r="I11" s="22"/>
      <c r="J11" s="168">
        <f t="shared" si="0"/>
        <v>0</v>
      </c>
      <c r="K11" s="32">
        <f t="shared" si="2"/>
        <v>0</v>
      </c>
      <c r="L11" s="151">
        <f t="shared" si="3"/>
        <v>0</v>
      </c>
      <c r="M11" s="23">
        <f t="shared" si="4"/>
        <v>0</v>
      </c>
      <c r="N11" s="23">
        <f t="shared" ref="N11:AZ11" si="9">M11*(1+$C$70)</f>
        <v>0</v>
      </c>
      <c r="O11" s="23">
        <f t="shared" si="9"/>
        <v>0</v>
      </c>
      <c r="P11" s="23">
        <f t="shared" si="9"/>
        <v>0</v>
      </c>
      <c r="Q11" s="23">
        <f t="shared" si="9"/>
        <v>0</v>
      </c>
      <c r="R11" s="23">
        <f t="shared" si="9"/>
        <v>0</v>
      </c>
      <c r="S11" s="23">
        <f t="shared" si="9"/>
        <v>0</v>
      </c>
      <c r="T11" s="23">
        <f t="shared" si="9"/>
        <v>0</v>
      </c>
      <c r="U11" s="23">
        <f t="shared" si="9"/>
        <v>0</v>
      </c>
      <c r="V11" s="23">
        <f t="shared" si="9"/>
        <v>0</v>
      </c>
      <c r="W11" s="23">
        <f t="shared" si="9"/>
        <v>0</v>
      </c>
      <c r="X11" s="23">
        <f t="shared" si="9"/>
        <v>0</v>
      </c>
      <c r="Y11" s="23">
        <f t="shared" si="9"/>
        <v>0</v>
      </c>
      <c r="Z11" s="23">
        <f t="shared" si="9"/>
        <v>0</v>
      </c>
      <c r="AA11" s="23">
        <f t="shared" si="9"/>
        <v>0</v>
      </c>
      <c r="AB11" s="23">
        <f t="shared" si="9"/>
        <v>0</v>
      </c>
      <c r="AC11" s="23">
        <f t="shared" si="9"/>
        <v>0</v>
      </c>
      <c r="AD11" s="23">
        <f t="shared" si="9"/>
        <v>0</v>
      </c>
      <c r="AE11" s="23">
        <f t="shared" si="9"/>
        <v>0</v>
      </c>
      <c r="AF11" s="23">
        <f t="shared" si="9"/>
        <v>0</v>
      </c>
      <c r="AG11" s="23">
        <f t="shared" si="9"/>
        <v>0</v>
      </c>
      <c r="AH11" s="23">
        <f t="shared" si="9"/>
        <v>0</v>
      </c>
      <c r="AI11" s="23">
        <f t="shared" si="9"/>
        <v>0</v>
      </c>
      <c r="AJ11" s="23">
        <f t="shared" si="9"/>
        <v>0</v>
      </c>
      <c r="AK11" s="23">
        <f t="shared" si="9"/>
        <v>0</v>
      </c>
      <c r="AL11" s="23">
        <f t="shared" si="9"/>
        <v>0</v>
      </c>
      <c r="AM11" s="23">
        <f t="shared" si="9"/>
        <v>0</v>
      </c>
      <c r="AN11" s="23">
        <f t="shared" si="9"/>
        <v>0</v>
      </c>
      <c r="AO11" s="23">
        <f t="shared" si="9"/>
        <v>0</v>
      </c>
      <c r="AP11" s="23">
        <f t="shared" si="9"/>
        <v>0</v>
      </c>
      <c r="AQ11" s="23">
        <f t="shared" si="9"/>
        <v>0</v>
      </c>
      <c r="AR11" s="23">
        <f t="shared" si="9"/>
        <v>0</v>
      </c>
      <c r="AS11" s="23">
        <f t="shared" si="9"/>
        <v>0</v>
      </c>
      <c r="AT11" s="23">
        <f t="shared" si="9"/>
        <v>0</v>
      </c>
      <c r="AU11" s="23">
        <f t="shared" si="9"/>
        <v>0</v>
      </c>
      <c r="AV11" s="23">
        <f t="shared" si="9"/>
        <v>0</v>
      </c>
      <c r="AW11" s="23">
        <f t="shared" si="9"/>
        <v>0</v>
      </c>
      <c r="AX11" s="23">
        <f t="shared" si="9"/>
        <v>0</v>
      </c>
      <c r="AY11" s="23">
        <f t="shared" si="9"/>
        <v>0</v>
      </c>
      <c r="AZ11" s="23">
        <f t="shared" si="9"/>
        <v>0</v>
      </c>
    </row>
    <row r="12" spans="1:52" x14ac:dyDescent="0.25">
      <c r="A12" s="118" t="s">
        <v>219</v>
      </c>
      <c r="B12" s="24"/>
      <c r="C12" s="25" t="s">
        <v>7</v>
      </c>
      <c r="D12" s="25" t="s">
        <v>70</v>
      </c>
      <c r="E12" s="294">
        <f>'Green+Social Interface'!$D$19*'Green+Social Interface'!$E$19</f>
        <v>0</v>
      </c>
      <c r="F12" s="344">
        <f>$I$79</f>
        <v>1.5585293443410517</v>
      </c>
      <c r="G12" s="356">
        <f>F12*VLOOKUP('Green+Social Interface'!$I$38,'Look-ups'!$A$15:$B$43,2,0)</f>
        <v>1.6676263984449256</v>
      </c>
      <c r="H12" s="21">
        <f>'Green+Social Interface'!$O$6</f>
        <v>7.0000000000000007E-2</v>
      </c>
      <c r="I12" s="22"/>
      <c r="J12" s="168">
        <f t="shared" si="0"/>
        <v>0</v>
      </c>
      <c r="K12" s="32">
        <f t="shared" si="2"/>
        <v>0</v>
      </c>
      <c r="L12" s="151">
        <f t="shared" si="3"/>
        <v>0</v>
      </c>
      <c r="M12" s="23">
        <f t="shared" si="4"/>
        <v>0</v>
      </c>
      <c r="N12" s="23">
        <f t="shared" ref="N12:AZ12" si="10">M12*(1+$C$70)</f>
        <v>0</v>
      </c>
      <c r="O12" s="23">
        <f t="shared" si="10"/>
        <v>0</v>
      </c>
      <c r="P12" s="23">
        <f t="shared" si="10"/>
        <v>0</v>
      </c>
      <c r="Q12" s="23">
        <f t="shared" si="10"/>
        <v>0</v>
      </c>
      <c r="R12" s="23">
        <f t="shared" si="10"/>
        <v>0</v>
      </c>
      <c r="S12" s="23">
        <f t="shared" si="10"/>
        <v>0</v>
      </c>
      <c r="T12" s="23">
        <f t="shared" si="10"/>
        <v>0</v>
      </c>
      <c r="U12" s="23">
        <f t="shared" si="10"/>
        <v>0</v>
      </c>
      <c r="V12" s="23">
        <f t="shared" si="10"/>
        <v>0</v>
      </c>
      <c r="W12" s="23">
        <f t="shared" si="10"/>
        <v>0</v>
      </c>
      <c r="X12" s="23">
        <f t="shared" si="10"/>
        <v>0</v>
      </c>
      <c r="Y12" s="23">
        <f t="shared" si="10"/>
        <v>0</v>
      </c>
      <c r="Z12" s="23">
        <f t="shared" si="10"/>
        <v>0</v>
      </c>
      <c r="AA12" s="23">
        <f t="shared" si="10"/>
        <v>0</v>
      </c>
      <c r="AB12" s="23">
        <f t="shared" si="10"/>
        <v>0</v>
      </c>
      <c r="AC12" s="23">
        <f t="shared" si="10"/>
        <v>0</v>
      </c>
      <c r="AD12" s="23">
        <f t="shared" si="10"/>
        <v>0</v>
      </c>
      <c r="AE12" s="23">
        <f t="shared" si="10"/>
        <v>0</v>
      </c>
      <c r="AF12" s="23">
        <f t="shared" si="10"/>
        <v>0</v>
      </c>
      <c r="AG12" s="23">
        <f t="shared" si="10"/>
        <v>0</v>
      </c>
      <c r="AH12" s="23">
        <f t="shared" si="10"/>
        <v>0</v>
      </c>
      <c r="AI12" s="23">
        <f t="shared" si="10"/>
        <v>0</v>
      </c>
      <c r="AJ12" s="23">
        <f t="shared" si="10"/>
        <v>0</v>
      </c>
      <c r="AK12" s="23">
        <f t="shared" si="10"/>
        <v>0</v>
      </c>
      <c r="AL12" s="23">
        <f t="shared" si="10"/>
        <v>0</v>
      </c>
      <c r="AM12" s="23">
        <f t="shared" si="10"/>
        <v>0</v>
      </c>
      <c r="AN12" s="23">
        <f t="shared" si="10"/>
        <v>0</v>
      </c>
      <c r="AO12" s="23">
        <f t="shared" si="10"/>
        <v>0</v>
      </c>
      <c r="AP12" s="23">
        <f t="shared" si="10"/>
        <v>0</v>
      </c>
      <c r="AQ12" s="23">
        <f t="shared" si="10"/>
        <v>0</v>
      </c>
      <c r="AR12" s="23">
        <f t="shared" si="10"/>
        <v>0</v>
      </c>
      <c r="AS12" s="23">
        <f t="shared" si="10"/>
        <v>0</v>
      </c>
      <c r="AT12" s="23">
        <f t="shared" si="10"/>
        <v>0</v>
      </c>
      <c r="AU12" s="23">
        <f t="shared" si="10"/>
        <v>0</v>
      </c>
      <c r="AV12" s="23">
        <f t="shared" si="10"/>
        <v>0</v>
      </c>
      <c r="AW12" s="23">
        <f t="shared" si="10"/>
        <v>0</v>
      </c>
      <c r="AX12" s="23">
        <f t="shared" si="10"/>
        <v>0</v>
      </c>
      <c r="AY12" s="23">
        <f t="shared" si="10"/>
        <v>0</v>
      </c>
      <c r="AZ12" s="23">
        <f t="shared" si="10"/>
        <v>0</v>
      </c>
    </row>
    <row r="13" spans="1:52" x14ac:dyDescent="0.25">
      <c r="A13" s="118" t="s">
        <v>219</v>
      </c>
      <c r="B13" s="24"/>
      <c r="C13" s="25" t="s">
        <v>8</v>
      </c>
      <c r="D13" s="25" t="s">
        <v>70</v>
      </c>
      <c r="E13" s="294">
        <f>'Green+Social Interface'!$D$20*'Green+Social Interface'!$E$20</f>
        <v>0</v>
      </c>
      <c r="F13" s="344">
        <f>$I$79</f>
        <v>1.5585293443410517</v>
      </c>
      <c r="G13" s="356">
        <f>F13*VLOOKUP('Green+Social Interface'!$I$38,'Look-ups'!$A$15:$B$43,2,0)</f>
        <v>1.6676263984449256</v>
      </c>
      <c r="H13" s="21">
        <f>'Green+Social Interface'!$O$6</f>
        <v>7.0000000000000007E-2</v>
      </c>
      <c r="I13" s="22"/>
      <c r="J13" s="168">
        <f t="shared" si="0"/>
        <v>0</v>
      </c>
      <c r="K13" s="32">
        <f t="shared" si="2"/>
        <v>0</v>
      </c>
      <c r="L13" s="151">
        <f t="shared" si="3"/>
        <v>0</v>
      </c>
      <c r="M13" s="23">
        <f t="shared" si="4"/>
        <v>0</v>
      </c>
      <c r="N13" s="23">
        <f t="shared" ref="N13:AZ13" si="11">M13*(1+$C$70)</f>
        <v>0</v>
      </c>
      <c r="O13" s="23">
        <f t="shared" si="11"/>
        <v>0</v>
      </c>
      <c r="P13" s="23">
        <f t="shared" si="11"/>
        <v>0</v>
      </c>
      <c r="Q13" s="23">
        <f t="shared" si="11"/>
        <v>0</v>
      </c>
      <c r="R13" s="23">
        <f t="shared" si="11"/>
        <v>0</v>
      </c>
      <c r="S13" s="23">
        <f t="shared" si="11"/>
        <v>0</v>
      </c>
      <c r="T13" s="23">
        <f t="shared" si="11"/>
        <v>0</v>
      </c>
      <c r="U13" s="23">
        <f t="shared" si="11"/>
        <v>0</v>
      </c>
      <c r="V13" s="23">
        <f t="shared" si="11"/>
        <v>0</v>
      </c>
      <c r="W13" s="23">
        <f t="shared" si="11"/>
        <v>0</v>
      </c>
      <c r="X13" s="23">
        <f t="shared" si="11"/>
        <v>0</v>
      </c>
      <c r="Y13" s="23">
        <f t="shared" si="11"/>
        <v>0</v>
      </c>
      <c r="Z13" s="23">
        <f t="shared" si="11"/>
        <v>0</v>
      </c>
      <c r="AA13" s="23">
        <f t="shared" si="11"/>
        <v>0</v>
      </c>
      <c r="AB13" s="23">
        <f t="shared" si="11"/>
        <v>0</v>
      </c>
      <c r="AC13" s="23">
        <f t="shared" si="11"/>
        <v>0</v>
      </c>
      <c r="AD13" s="23">
        <f t="shared" si="11"/>
        <v>0</v>
      </c>
      <c r="AE13" s="23">
        <f t="shared" si="11"/>
        <v>0</v>
      </c>
      <c r="AF13" s="23">
        <f t="shared" si="11"/>
        <v>0</v>
      </c>
      <c r="AG13" s="23">
        <f t="shared" si="11"/>
        <v>0</v>
      </c>
      <c r="AH13" s="23">
        <f t="shared" si="11"/>
        <v>0</v>
      </c>
      <c r="AI13" s="23">
        <f t="shared" si="11"/>
        <v>0</v>
      </c>
      <c r="AJ13" s="23">
        <f t="shared" si="11"/>
        <v>0</v>
      </c>
      <c r="AK13" s="23">
        <f t="shared" si="11"/>
        <v>0</v>
      </c>
      <c r="AL13" s="23">
        <f t="shared" si="11"/>
        <v>0</v>
      </c>
      <c r="AM13" s="23">
        <f t="shared" si="11"/>
        <v>0</v>
      </c>
      <c r="AN13" s="23">
        <f t="shared" si="11"/>
        <v>0</v>
      </c>
      <c r="AO13" s="23">
        <f t="shared" si="11"/>
        <v>0</v>
      </c>
      <c r="AP13" s="23">
        <f t="shared" si="11"/>
        <v>0</v>
      </c>
      <c r="AQ13" s="23">
        <f t="shared" si="11"/>
        <v>0</v>
      </c>
      <c r="AR13" s="23">
        <f t="shared" si="11"/>
        <v>0</v>
      </c>
      <c r="AS13" s="23">
        <f t="shared" si="11"/>
        <v>0</v>
      </c>
      <c r="AT13" s="23">
        <f t="shared" si="11"/>
        <v>0</v>
      </c>
      <c r="AU13" s="23">
        <f t="shared" si="11"/>
        <v>0</v>
      </c>
      <c r="AV13" s="23">
        <f t="shared" si="11"/>
        <v>0</v>
      </c>
      <c r="AW13" s="23">
        <f t="shared" si="11"/>
        <v>0</v>
      </c>
      <c r="AX13" s="23">
        <f t="shared" si="11"/>
        <v>0</v>
      </c>
      <c r="AY13" s="23">
        <f t="shared" si="11"/>
        <v>0</v>
      </c>
      <c r="AZ13" s="23">
        <f t="shared" si="11"/>
        <v>0</v>
      </c>
    </row>
    <row r="14" spans="1:52" x14ac:dyDescent="0.25">
      <c r="A14" s="118" t="s">
        <v>219</v>
      </c>
      <c r="B14" s="24"/>
      <c r="C14" s="25" t="s">
        <v>9</v>
      </c>
      <c r="D14" s="25" t="s">
        <v>70</v>
      </c>
      <c r="E14" s="294">
        <f>'Green+Social Interface'!$D$21*'Green+Social Interface'!$E$21</f>
        <v>0</v>
      </c>
      <c r="F14" s="344">
        <f>$I$79</f>
        <v>1.5585293443410517</v>
      </c>
      <c r="G14" s="356">
        <f>F14*VLOOKUP('Green+Social Interface'!$I$38,'Look-ups'!$A$15:$B$43,2,0)</f>
        <v>1.6676263984449256</v>
      </c>
      <c r="H14" s="21">
        <f>'Green+Social Interface'!$O$6</f>
        <v>7.0000000000000007E-2</v>
      </c>
      <c r="I14" s="22"/>
      <c r="J14" s="168">
        <f t="shared" si="0"/>
        <v>0</v>
      </c>
      <c r="K14" s="32">
        <f t="shared" si="2"/>
        <v>0</v>
      </c>
      <c r="L14" s="151">
        <f t="shared" si="3"/>
        <v>0</v>
      </c>
      <c r="M14" s="23">
        <f t="shared" si="4"/>
        <v>0</v>
      </c>
      <c r="N14" s="23">
        <f t="shared" ref="N14:AZ14" si="12">M14*(1+$C$70)</f>
        <v>0</v>
      </c>
      <c r="O14" s="23">
        <f t="shared" si="12"/>
        <v>0</v>
      </c>
      <c r="P14" s="23">
        <f t="shared" si="12"/>
        <v>0</v>
      </c>
      <c r="Q14" s="23">
        <f t="shared" si="12"/>
        <v>0</v>
      </c>
      <c r="R14" s="23">
        <f t="shared" si="12"/>
        <v>0</v>
      </c>
      <c r="S14" s="23">
        <f t="shared" si="12"/>
        <v>0</v>
      </c>
      <c r="T14" s="23">
        <f t="shared" si="12"/>
        <v>0</v>
      </c>
      <c r="U14" s="23">
        <f t="shared" si="12"/>
        <v>0</v>
      </c>
      <c r="V14" s="23">
        <f t="shared" si="12"/>
        <v>0</v>
      </c>
      <c r="W14" s="23">
        <f t="shared" si="12"/>
        <v>0</v>
      </c>
      <c r="X14" s="23">
        <f t="shared" si="12"/>
        <v>0</v>
      </c>
      <c r="Y14" s="23">
        <f t="shared" si="12"/>
        <v>0</v>
      </c>
      <c r="Z14" s="23">
        <f t="shared" si="12"/>
        <v>0</v>
      </c>
      <c r="AA14" s="23">
        <f t="shared" si="12"/>
        <v>0</v>
      </c>
      <c r="AB14" s="23">
        <f t="shared" si="12"/>
        <v>0</v>
      </c>
      <c r="AC14" s="23">
        <f t="shared" si="12"/>
        <v>0</v>
      </c>
      <c r="AD14" s="23">
        <f t="shared" si="12"/>
        <v>0</v>
      </c>
      <c r="AE14" s="23">
        <f t="shared" si="12"/>
        <v>0</v>
      </c>
      <c r="AF14" s="23">
        <f t="shared" si="12"/>
        <v>0</v>
      </c>
      <c r="AG14" s="23">
        <f t="shared" si="12"/>
        <v>0</v>
      </c>
      <c r="AH14" s="23">
        <f t="shared" si="12"/>
        <v>0</v>
      </c>
      <c r="AI14" s="23">
        <f t="shared" si="12"/>
        <v>0</v>
      </c>
      <c r="AJ14" s="23">
        <f t="shared" si="12"/>
        <v>0</v>
      </c>
      <c r="AK14" s="23">
        <f t="shared" si="12"/>
        <v>0</v>
      </c>
      <c r="AL14" s="23">
        <f t="shared" si="12"/>
        <v>0</v>
      </c>
      <c r="AM14" s="23">
        <f t="shared" si="12"/>
        <v>0</v>
      </c>
      <c r="AN14" s="23">
        <f t="shared" si="12"/>
        <v>0</v>
      </c>
      <c r="AO14" s="23">
        <f t="shared" si="12"/>
        <v>0</v>
      </c>
      <c r="AP14" s="23">
        <f t="shared" si="12"/>
        <v>0</v>
      </c>
      <c r="AQ14" s="23">
        <f t="shared" si="12"/>
        <v>0</v>
      </c>
      <c r="AR14" s="23">
        <f t="shared" si="12"/>
        <v>0</v>
      </c>
      <c r="AS14" s="23">
        <f t="shared" si="12"/>
        <v>0</v>
      </c>
      <c r="AT14" s="23">
        <f t="shared" si="12"/>
        <v>0</v>
      </c>
      <c r="AU14" s="23">
        <f t="shared" si="12"/>
        <v>0</v>
      </c>
      <c r="AV14" s="23">
        <f t="shared" si="12"/>
        <v>0</v>
      </c>
      <c r="AW14" s="23">
        <f t="shared" si="12"/>
        <v>0</v>
      </c>
      <c r="AX14" s="23">
        <f t="shared" si="12"/>
        <v>0</v>
      </c>
      <c r="AY14" s="23">
        <f t="shared" si="12"/>
        <v>0</v>
      </c>
      <c r="AZ14" s="23">
        <f t="shared" si="12"/>
        <v>0</v>
      </c>
    </row>
    <row r="15" spans="1:52" x14ac:dyDescent="0.25">
      <c r="A15" s="118" t="s">
        <v>219</v>
      </c>
      <c r="B15" s="24"/>
      <c r="C15" s="25" t="s">
        <v>11</v>
      </c>
      <c r="D15" s="25" t="s">
        <v>70</v>
      </c>
      <c r="E15" s="294">
        <f>'Green+Social Interface'!$D$22*'Green+Social Interface'!$E$22</f>
        <v>0</v>
      </c>
      <c r="F15" s="344">
        <f>$I$79</f>
        <v>1.5585293443410517</v>
      </c>
      <c r="G15" s="356">
        <f>F15*VLOOKUP('Green+Social Interface'!$I$38,'Look-ups'!$A$15:$B$43,2,0)</f>
        <v>1.6676263984449256</v>
      </c>
      <c r="H15" s="21">
        <f>'Green+Social Interface'!$O$6</f>
        <v>7.0000000000000007E-2</v>
      </c>
      <c r="I15" s="22"/>
      <c r="J15" s="168">
        <f t="shared" si="0"/>
        <v>0</v>
      </c>
      <c r="K15" s="32">
        <f t="shared" si="2"/>
        <v>0</v>
      </c>
      <c r="L15" s="151">
        <f t="shared" si="3"/>
        <v>0</v>
      </c>
      <c r="M15" s="23">
        <f t="shared" si="4"/>
        <v>0</v>
      </c>
      <c r="N15" s="23">
        <f t="shared" ref="N15:AZ15" si="13">M15*(1+$C$70)</f>
        <v>0</v>
      </c>
      <c r="O15" s="23">
        <f t="shared" si="13"/>
        <v>0</v>
      </c>
      <c r="P15" s="23">
        <f t="shared" si="13"/>
        <v>0</v>
      </c>
      <c r="Q15" s="23">
        <f t="shared" si="13"/>
        <v>0</v>
      </c>
      <c r="R15" s="23">
        <f t="shared" si="13"/>
        <v>0</v>
      </c>
      <c r="S15" s="23">
        <f t="shared" si="13"/>
        <v>0</v>
      </c>
      <c r="T15" s="23">
        <f t="shared" si="13"/>
        <v>0</v>
      </c>
      <c r="U15" s="23">
        <f t="shared" si="13"/>
        <v>0</v>
      </c>
      <c r="V15" s="23">
        <f t="shared" si="13"/>
        <v>0</v>
      </c>
      <c r="W15" s="23">
        <f t="shared" si="13"/>
        <v>0</v>
      </c>
      <c r="X15" s="23">
        <f t="shared" si="13"/>
        <v>0</v>
      </c>
      <c r="Y15" s="23">
        <f t="shared" si="13"/>
        <v>0</v>
      </c>
      <c r="Z15" s="23">
        <f t="shared" si="13"/>
        <v>0</v>
      </c>
      <c r="AA15" s="23">
        <f t="shared" si="13"/>
        <v>0</v>
      </c>
      <c r="AB15" s="23">
        <f t="shared" si="13"/>
        <v>0</v>
      </c>
      <c r="AC15" s="23">
        <f t="shared" si="13"/>
        <v>0</v>
      </c>
      <c r="AD15" s="23">
        <f t="shared" si="13"/>
        <v>0</v>
      </c>
      <c r="AE15" s="23">
        <f t="shared" si="13"/>
        <v>0</v>
      </c>
      <c r="AF15" s="23">
        <f t="shared" si="13"/>
        <v>0</v>
      </c>
      <c r="AG15" s="23">
        <f t="shared" si="13"/>
        <v>0</v>
      </c>
      <c r="AH15" s="23">
        <f t="shared" si="13"/>
        <v>0</v>
      </c>
      <c r="AI15" s="23">
        <f t="shared" si="13"/>
        <v>0</v>
      </c>
      <c r="AJ15" s="23">
        <f t="shared" si="13"/>
        <v>0</v>
      </c>
      <c r="AK15" s="23">
        <f t="shared" si="13"/>
        <v>0</v>
      </c>
      <c r="AL15" s="23">
        <f t="shared" si="13"/>
        <v>0</v>
      </c>
      <c r="AM15" s="23">
        <f t="shared" si="13"/>
        <v>0</v>
      </c>
      <c r="AN15" s="23">
        <f t="shared" si="13"/>
        <v>0</v>
      </c>
      <c r="AO15" s="23">
        <f t="shared" si="13"/>
        <v>0</v>
      </c>
      <c r="AP15" s="23">
        <f t="shared" si="13"/>
        <v>0</v>
      </c>
      <c r="AQ15" s="23">
        <f t="shared" si="13"/>
        <v>0</v>
      </c>
      <c r="AR15" s="23">
        <f t="shared" si="13"/>
        <v>0</v>
      </c>
      <c r="AS15" s="23">
        <f t="shared" si="13"/>
        <v>0</v>
      </c>
      <c r="AT15" s="23">
        <f t="shared" si="13"/>
        <v>0</v>
      </c>
      <c r="AU15" s="23">
        <f t="shared" si="13"/>
        <v>0</v>
      </c>
      <c r="AV15" s="23">
        <f t="shared" si="13"/>
        <v>0</v>
      </c>
      <c r="AW15" s="23">
        <f t="shared" si="13"/>
        <v>0</v>
      </c>
      <c r="AX15" s="23">
        <f t="shared" si="13"/>
        <v>0</v>
      </c>
      <c r="AY15" s="23">
        <f t="shared" si="13"/>
        <v>0</v>
      </c>
      <c r="AZ15" s="23">
        <f t="shared" si="13"/>
        <v>0</v>
      </c>
    </row>
    <row r="16" spans="1:52" x14ac:dyDescent="0.25">
      <c r="A16" s="118" t="s">
        <v>933</v>
      </c>
      <c r="B16" s="24" t="s">
        <v>5</v>
      </c>
      <c r="C16" s="29" t="s">
        <v>10</v>
      </c>
      <c r="D16" s="25" t="s">
        <v>70</v>
      </c>
      <c r="E16" s="294">
        <f>'Green+Social Interface'!$T$18*'Green+Social Interface'!$U$18</f>
        <v>0</v>
      </c>
      <c r="F16" s="344">
        <f>$I$94</f>
        <v>1.5585293443410517</v>
      </c>
      <c r="G16" s="356">
        <f>F16*VLOOKUP('Green+Social Interface'!$I$38,'Look-ups'!$A$15:$B$43,2,0)</f>
        <v>1.6676263984449256</v>
      </c>
      <c r="H16" s="21">
        <f>'Green+Social Interface'!$O$6</f>
        <v>7.0000000000000007E-2</v>
      </c>
      <c r="I16" s="22"/>
      <c r="J16" s="168">
        <f t="shared" si="0"/>
        <v>0</v>
      </c>
      <c r="K16" s="32">
        <f t="shared" si="2"/>
        <v>0</v>
      </c>
      <c r="L16" s="151">
        <f t="shared" si="3"/>
        <v>0</v>
      </c>
      <c r="M16" s="23">
        <f t="shared" si="4"/>
        <v>0</v>
      </c>
      <c r="N16" s="23">
        <f t="shared" ref="N16:AZ16" si="14">M16*(1+$C$70)</f>
        <v>0</v>
      </c>
      <c r="O16" s="23">
        <f t="shared" si="14"/>
        <v>0</v>
      </c>
      <c r="P16" s="23">
        <f t="shared" si="14"/>
        <v>0</v>
      </c>
      <c r="Q16" s="23">
        <f t="shared" si="14"/>
        <v>0</v>
      </c>
      <c r="R16" s="23">
        <f t="shared" si="14"/>
        <v>0</v>
      </c>
      <c r="S16" s="23">
        <f t="shared" si="14"/>
        <v>0</v>
      </c>
      <c r="T16" s="23">
        <f t="shared" si="14"/>
        <v>0</v>
      </c>
      <c r="U16" s="23">
        <f t="shared" si="14"/>
        <v>0</v>
      </c>
      <c r="V16" s="23">
        <f t="shared" si="14"/>
        <v>0</v>
      </c>
      <c r="W16" s="23">
        <f t="shared" si="14"/>
        <v>0</v>
      </c>
      <c r="X16" s="23">
        <f t="shared" si="14"/>
        <v>0</v>
      </c>
      <c r="Y16" s="23">
        <f t="shared" si="14"/>
        <v>0</v>
      </c>
      <c r="Z16" s="23">
        <f t="shared" si="14"/>
        <v>0</v>
      </c>
      <c r="AA16" s="23">
        <f t="shared" si="14"/>
        <v>0</v>
      </c>
      <c r="AB16" s="23">
        <f t="shared" si="14"/>
        <v>0</v>
      </c>
      <c r="AC16" s="23">
        <f t="shared" si="14"/>
        <v>0</v>
      </c>
      <c r="AD16" s="23">
        <f t="shared" si="14"/>
        <v>0</v>
      </c>
      <c r="AE16" s="23">
        <f t="shared" si="14"/>
        <v>0</v>
      </c>
      <c r="AF16" s="23">
        <f t="shared" si="14"/>
        <v>0</v>
      </c>
      <c r="AG16" s="23">
        <f t="shared" si="14"/>
        <v>0</v>
      </c>
      <c r="AH16" s="23">
        <f t="shared" si="14"/>
        <v>0</v>
      </c>
      <c r="AI16" s="23">
        <f t="shared" si="14"/>
        <v>0</v>
      </c>
      <c r="AJ16" s="23">
        <f t="shared" si="14"/>
        <v>0</v>
      </c>
      <c r="AK16" s="23">
        <f t="shared" si="14"/>
        <v>0</v>
      </c>
      <c r="AL16" s="23">
        <f t="shared" si="14"/>
        <v>0</v>
      </c>
      <c r="AM16" s="23">
        <f t="shared" si="14"/>
        <v>0</v>
      </c>
      <c r="AN16" s="23">
        <f t="shared" si="14"/>
        <v>0</v>
      </c>
      <c r="AO16" s="23">
        <f t="shared" si="14"/>
        <v>0</v>
      </c>
      <c r="AP16" s="23">
        <f t="shared" si="14"/>
        <v>0</v>
      </c>
      <c r="AQ16" s="23">
        <f t="shared" si="14"/>
        <v>0</v>
      </c>
      <c r="AR16" s="23">
        <f t="shared" si="14"/>
        <v>0</v>
      </c>
      <c r="AS16" s="23">
        <f t="shared" si="14"/>
        <v>0</v>
      </c>
      <c r="AT16" s="23">
        <f t="shared" si="14"/>
        <v>0</v>
      </c>
      <c r="AU16" s="23">
        <f t="shared" si="14"/>
        <v>0</v>
      </c>
      <c r="AV16" s="23">
        <f t="shared" si="14"/>
        <v>0</v>
      </c>
      <c r="AW16" s="23">
        <f t="shared" si="14"/>
        <v>0</v>
      </c>
      <c r="AX16" s="23">
        <f t="shared" si="14"/>
        <v>0</v>
      </c>
      <c r="AY16" s="23">
        <f t="shared" si="14"/>
        <v>0</v>
      </c>
      <c r="AZ16" s="23">
        <f t="shared" si="14"/>
        <v>0</v>
      </c>
    </row>
    <row r="17" spans="1:52" x14ac:dyDescent="0.25">
      <c r="A17" s="118" t="s">
        <v>933</v>
      </c>
      <c r="B17" s="24"/>
      <c r="C17" s="25" t="s">
        <v>6</v>
      </c>
      <c r="D17" s="25" t="s">
        <v>70</v>
      </c>
      <c r="E17" s="294">
        <f>'Green+Social Interface'!$T$19*'Green+Social Interface'!$U$19</f>
        <v>0</v>
      </c>
      <c r="F17" s="344">
        <f>$I$94</f>
        <v>1.5585293443410517</v>
      </c>
      <c r="G17" s="356">
        <f>F17*VLOOKUP('Green+Social Interface'!$I$38,'Look-ups'!$A$15:$B$43,2,0)</f>
        <v>1.6676263984449256</v>
      </c>
      <c r="H17" s="21">
        <f>'Green+Social Interface'!$O$6</f>
        <v>7.0000000000000007E-2</v>
      </c>
      <c r="I17" s="22"/>
      <c r="J17" s="168">
        <f t="shared" si="0"/>
        <v>0</v>
      </c>
      <c r="K17" s="32">
        <f t="shared" si="2"/>
        <v>0</v>
      </c>
      <c r="L17" s="151">
        <f t="shared" si="3"/>
        <v>0</v>
      </c>
      <c r="M17" s="23">
        <f t="shared" si="4"/>
        <v>0</v>
      </c>
      <c r="N17" s="23">
        <f t="shared" ref="N17:AZ17" si="15">M17*(1+$C$70)</f>
        <v>0</v>
      </c>
      <c r="O17" s="23">
        <f t="shared" si="15"/>
        <v>0</v>
      </c>
      <c r="P17" s="23">
        <f t="shared" si="15"/>
        <v>0</v>
      </c>
      <c r="Q17" s="23">
        <f t="shared" si="15"/>
        <v>0</v>
      </c>
      <c r="R17" s="23">
        <f t="shared" si="15"/>
        <v>0</v>
      </c>
      <c r="S17" s="23">
        <f t="shared" si="15"/>
        <v>0</v>
      </c>
      <c r="T17" s="23">
        <f t="shared" si="15"/>
        <v>0</v>
      </c>
      <c r="U17" s="23">
        <f t="shared" si="15"/>
        <v>0</v>
      </c>
      <c r="V17" s="23">
        <f t="shared" si="15"/>
        <v>0</v>
      </c>
      <c r="W17" s="23">
        <f t="shared" si="15"/>
        <v>0</v>
      </c>
      <c r="X17" s="23">
        <f t="shared" si="15"/>
        <v>0</v>
      </c>
      <c r="Y17" s="23">
        <f t="shared" si="15"/>
        <v>0</v>
      </c>
      <c r="Z17" s="23">
        <f t="shared" si="15"/>
        <v>0</v>
      </c>
      <c r="AA17" s="23">
        <f t="shared" si="15"/>
        <v>0</v>
      </c>
      <c r="AB17" s="23">
        <f t="shared" si="15"/>
        <v>0</v>
      </c>
      <c r="AC17" s="23">
        <f t="shared" si="15"/>
        <v>0</v>
      </c>
      <c r="AD17" s="23">
        <f t="shared" si="15"/>
        <v>0</v>
      </c>
      <c r="AE17" s="23">
        <f t="shared" si="15"/>
        <v>0</v>
      </c>
      <c r="AF17" s="23">
        <f t="shared" si="15"/>
        <v>0</v>
      </c>
      <c r="AG17" s="23">
        <f t="shared" si="15"/>
        <v>0</v>
      </c>
      <c r="AH17" s="23">
        <f t="shared" si="15"/>
        <v>0</v>
      </c>
      <c r="AI17" s="23">
        <f t="shared" si="15"/>
        <v>0</v>
      </c>
      <c r="AJ17" s="23">
        <f t="shared" si="15"/>
        <v>0</v>
      </c>
      <c r="AK17" s="23">
        <f t="shared" si="15"/>
        <v>0</v>
      </c>
      <c r="AL17" s="23">
        <f t="shared" si="15"/>
        <v>0</v>
      </c>
      <c r="AM17" s="23">
        <f t="shared" si="15"/>
        <v>0</v>
      </c>
      <c r="AN17" s="23">
        <f t="shared" si="15"/>
        <v>0</v>
      </c>
      <c r="AO17" s="23">
        <f t="shared" si="15"/>
        <v>0</v>
      </c>
      <c r="AP17" s="23">
        <f t="shared" si="15"/>
        <v>0</v>
      </c>
      <c r="AQ17" s="23">
        <f t="shared" si="15"/>
        <v>0</v>
      </c>
      <c r="AR17" s="23">
        <f t="shared" si="15"/>
        <v>0</v>
      </c>
      <c r="AS17" s="23">
        <f t="shared" si="15"/>
        <v>0</v>
      </c>
      <c r="AT17" s="23">
        <f t="shared" si="15"/>
        <v>0</v>
      </c>
      <c r="AU17" s="23">
        <f t="shared" si="15"/>
        <v>0</v>
      </c>
      <c r="AV17" s="23">
        <f t="shared" si="15"/>
        <v>0</v>
      </c>
      <c r="AW17" s="23">
        <f t="shared" si="15"/>
        <v>0</v>
      </c>
      <c r="AX17" s="23">
        <f t="shared" si="15"/>
        <v>0</v>
      </c>
      <c r="AY17" s="23">
        <f t="shared" si="15"/>
        <v>0</v>
      </c>
      <c r="AZ17" s="23">
        <f t="shared" si="15"/>
        <v>0</v>
      </c>
    </row>
    <row r="18" spans="1:52" x14ac:dyDescent="0.25">
      <c r="A18" s="118" t="s">
        <v>933</v>
      </c>
      <c r="B18" s="24"/>
      <c r="C18" s="25" t="s">
        <v>7</v>
      </c>
      <c r="D18" s="25" t="s">
        <v>70</v>
      </c>
      <c r="E18" s="294">
        <f>'Green+Social Interface'!$T$20*'Green+Social Interface'!$U$20</f>
        <v>0</v>
      </c>
      <c r="F18" s="344">
        <f>$I$94</f>
        <v>1.5585293443410517</v>
      </c>
      <c r="G18" s="356">
        <f>F18*VLOOKUP('Green+Social Interface'!$I$38,'Look-ups'!$A$15:$B$43,2,0)</f>
        <v>1.6676263984449256</v>
      </c>
      <c r="H18" s="21">
        <f>'Green+Social Interface'!$O$6</f>
        <v>7.0000000000000007E-2</v>
      </c>
      <c r="I18" s="22"/>
      <c r="J18" s="168">
        <f t="shared" si="0"/>
        <v>0</v>
      </c>
      <c r="K18" s="32">
        <f t="shared" si="2"/>
        <v>0</v>
      </c>
      <c r="L18" s="151">
        <f t="shared" si="3"/>
        <v>0</v>
      </c>
      <c r="M18" s="23">
        <f t="shared" si="4"/>
        <v>0</v>
      </c>
      <c r="N18" s="23">
        <f t="shared" ref="N18:AZ18" si="16">M18*(1+$C$70)</f>
        <v>0</v>
      </c>
      <c r="O18" s="23">
        <f t="shared" si="16"/>
        <v>0</v>
      </c>
      <c r="P18" s="23">
        <f t="shared" si="16"/>
        <v>0</v>
      </c>
      <c r="Q18" s="23">
        <f t="shared" si="16"/>
        <v>0</v>
      </c>
      <c r="R18" s="23">
        <f t="shared" si="16"/>
        <v>0</v>
      </c>
      <c r="S18" s="23">
        <f t="shared" si="16"/>
        <v>0</v>
      </c>
      <c r="T18" s="23">
        <f t="shared" si="16"/>
        <v>0</v>
      </c>
      <c r="U18" s="23">
        <f t="shared" si="16"/>
        <v>0</v>
      </c>
      <c r="V18" s="23">
        <f t="shared" si="16"/>
        <v>0</v>
      </c>
      <c r="W18" s="23">
        <f t="shared" si="16"/>
        <v>0</v>
      </c>
      <c r="X18" s="23">
        <f t="shared" si="16"/>
        <v>0</v>
      </c>
      <c r="Y18" s="23">
        <f t="shared" si="16"/>
        <v>0</v>
      </c>
      <c r="Z18" s="23">
        <f t="shared" si="16"/>
        <v>0</v>
      </c>
      <c r="AA18" s="23">
        <f t="shared" si="16"/>
        <v>0</v>
      </c>
      <c r="AB18" s="23">
        <f t="shared" si="16"/>
        <v>0</v>
      </c>
      <c r="AC18" s="23">
        <f t="shared" si="16"/>
        <v>0</v>
      </c>
      <c r="AD18" s="23">
        <f t="shared" si="16"/>
        <v>0</v>
      </c>
      <c r="AE18" s="23">
        <f t="shared" si="16"/>
        <v>0</v>
      </c>
      <c r="AF18" s="23">
        <f t="shared" si="16"/>
        <v>0</v>
      </c>
      <c r="AG18" s="23">
        <f t="shared" si="16"/>
        <v>0</v>
      </c>
      <c r="AH18" s="23">
        <f t="shared" si="16"/>
        <v>0</v>
      </c>
      <c r="AI18" s="23">
        <f t="shared" si="16"/>
        <v>0</v>
      </c>
      <c r="AJ18" s="23">
        <f t="shared" si="16"/>
        <v>0</v>
      </c>
      <c r="AK18" s="23">
        <f t="shared" si="16"/>
        <v>0</v>
      </c>
      <c r="AL18" s="23">
        <f t="shared" si="16"/>
        <v>0</v>
      </c>
      <c r="AM18" s="23">
        <f t="shared" si="16"/>
        <v>0</v>
      </c>
      <c r="AN18" s="23">
        <f t="shared" si="16"/>
        <v>0</v>
      </c>
      <c r="AO18" s="23">
        <f t="shared" si="16"/>
        <v>0</v>
      </c>
      <c r="AP18" s="23">
        <f t="shared" si="16"/>
        <v>0</v>
      </c>
      <c r="AQ18" s="23">
        <f t="shared" si="16"/>
        <v>0</v>
      </c>
      <c r="AR18" s="23">
        <f t="shared" si="16"/>
        <v>0</v>
      </c>
      <c r="AS18" s="23">
        <f t="shared" si="16"/>
        <v>0</v>
      </c>
      <c r="AT18" s="23">
        <f t="shared" si="16"/>
        <v>0</v>
      </c>
      <c r="AU18" s="23">
        <f t="shared" si="16"/>
        <v>0</v>
      </c>
      <c r="AV18" s="23">
        <f t="shared" si="16"/>
        <v>0</v>
      </c>
      <c r="AW18" s="23">
        <f t="shared" si="16"/>
        <v>0</v>
      </c>
      <c r="AX18" s="23">
        <f t="shared" si="16"/>
        <v>0</v>
      </c>
      <c r="AY18" s="23">
        <f t="shared" si="16"/>
        <v>0</v>
      </c>
      <c r="AZ18" s="23">
        <f t="shared" si="16"/>
        <v>0</v>
      </c>
    </row>
    <row r="19" spans="1:52" x14ac:dyDescent="0.25">
      <c r="A19" s="118" t="s">
        <v>933</v>
      </c>
      <c r="B19" s="24"/>
      <c r="C19" s="25" t="s">
        <v>8</v>
      </c>
      <c r="D19" s="25" t="s">
        <v>70</v>
      </c>
      <c r="E19" s="294">
        <f>'Green+Social Interface'!$T$21*'Green+Social Interface'!$U$21</f>
        <v>0</v>
      </c>
      <c r="F19" s="344">
        <f>$I$94</f>
        <v>1.5585293443410517</v>
      </c>
      <c r="G19" s="356">
        <f>F19*VLOOKUP('Green+Social Interface'!$I$38,'Look-ups'!$A$15:$B$43,2,0)</f>
        <v>1.6676263984449256</v>
      </c>
      <c r="H19" s="21">
        <f>'Green+Social Interface'!$O$6</f>
        <v>7.0000000000000007E-2</v>
      </c>
      <c r="I19" s="22"/>
      <c r="J19" s="168">
        <f t="shared" si="0"/>
        <v>0</v>
      </c>
      <c r="K19" s="32">
        <f t="shared" si="2"/>
        <v>0</v>
      </c>
      <c r="L19" s="151">
        <f t="shared" si="3"/>
        <v>0</v>
      </c>
      <c r="M19" s="23">
        <f t="shared" si="4"/>
        <v>0</v>
      </c>
      <c r="N19" s="23">
        <f t="shared" ref="N19:AZ19" si="17">M19*(1+$C$70)</f>
        <v>0</v>
      </c>
      <c r="O19" s="23">
        <f t="shared" si="17"/>
        <v>0</v>
      </c>
      <c r="P19" s="23">
        <f t="shared" si="17"/>
        <v>0</v>
      </c>
      <c r="Q19" s="23">
        <f t="shared" si="17"/>
        <v>0</v>
      </c>
      <c r="R19" s="23">
        <f t="shared" si="17"/>
        <v>0</v>
      </c>
      <c r="S19" s="23">
        <f t="shared" si="17"/>
        <v>0</v>
      </c>
      <c r="T19" s="23">
        <f t="shared" si="17"/>
        <v>0</v>
      </c>
      <c r="U19" s="23">
        <f t="shared" si="17"/>
        <v>0</v>
      </c>
      <c r="V19" s="23">
        <f t="shared" si="17"/>
        <v>0</v>
      </c>
      <c r="W19" s="23">
        <f t="shared" si="17"/>
        <v>0</v>
      </c>
      <c r="X19" s="23">
        <f t="shared" si="17"/>
        <v>0</v>
      </c>
      <c r="Y19" s="23">
        <f t="shared" si="17"/>
        <v>0</v>
      </c>
      <c r="Z19" s="23">
        <f t="shared" si="17"/>
        <v>0</v>
      </c>
      <c r="AA19" s="23">
        <f t="shared" si="17"/>
        <v>0</v>
      </c>
      <c r="AB19" s="23">
        <f t="shared" si="17"/>
        <v>0</v>
      </c>
      <c r="AC19" s="23">
        <f t="shared" si="17"/>
        <v>0</v>
      </c>
      <c r="AD19" s="23">
        <f t="shared" si="17"/>
        <v>0</v>
      </c>
      <c r="AE19" s="23">
        <f t="shared" si="17"/>
        <v>0</v>
      </c>
      <c r="AF19" s="23">
        <f t="shared" si="17"/>
        <v>0</v>
      </c>
      <c r="AG19" s="23">
        <f t="shared" si="17"/>
        <v>0</v>
      </c>
      <c r="AH19" s="23">
        <f t="shared" si="17"/>
        <v>0</v>
      </c>
      <c r="AI19" s="23">
        <f t="shared" si="17"/>
        <v>0</v>
      </c>
      <c r="AJ19" s="23">
        <f t="shared" si="17"/>
        <v>0</v>
      </c>
      <c r="AK19" s="23">
        <f t="shared" si="17"/>
        <v>0</v>
      </c>
      <c r="AL19" s="23">
        <f t="shared" si="17"/>
        <v>0</v>
      </c>
      <c r="AM19" s="23">
        <f t="shared" si="17"/>
        <v>0</v>
      </c>
      <c r="AN19" s="23">
        <f t="shared" si="17"/>
        <v>0</v>
      </c>
      <c r="AO19" s="23">
        <f t="shared" si="17"/>
        <v>0</v>
      </c>
      <c r="AP19" s="23">
        <f t="shared" si="17"/>
        <v>0</v>
      </c>
      <c r="AQ19" s="23">
        <f t="shared" si="17"/>
        <v>0</v>
      </c>
      <c r="AR19" s="23">
        <f t="shared" si="17"/>
        <v>0</v>
      </c>
      <c r="AS19" s="23">
        <f t="shared" si="17"/>
        <v>0</v>
      </c>
      <c r="AT19" s="23">
        <f t="shared" si="17"/>
        <v>0</v>
      </c>
      <c r="AU19" s="23">
        <f t="shared" si="17"/>
        <v>0</v>
      </c>
      <c r="AV19" s="23">
        <f t="shared" si="17"/>
        <v>0</v>
      </c>
      <c r="AW19" s="23">
        <f t="shared" si="17"/>
        <v>0</v>
      </c>
      <c r="AX19" s="23">
        <f t="shared" si="17"/>
        <v>0</v>
      </c>
      <c r="AY19" s="23">
        <f t="shared" si="17"/>
        <v>0</v>
      </c>
      <c r="AZ19" s="23">
        <f t="shared" si="17"/>
        <v>0</v>
      </c>
    </row>
    <row r="20" spans="1:52" x14ac:dyDescent="0.25">
      <c r="A20" s="118" t="s">
        <v>933</v>
      </c>
      <c r="B20" s="24"/>
      <c r="C20" s="25" t="s">
        <v>9</v>
      </c>
      <c r="D20" s="25" t="s">
        <v>70</v>
      </c>
      <c r="E20" s="294">
        <f>'Green+Social Interface'!$T$22*'Green+Social Interface'!$U$22</f>
        <v>0</v>
      </c>
      <c r="F20" s="344">
        <f>$I$94</f>
        <v>1.5585293443410517</v>
      </c>
      <c r="G20" s="356">
        <f>F20*VLOOKUP('Green+Social Interface'!$I$38,'Look-ups'!$A$15:$B$43,2,0)</f>
        <v>1.6676263984449256</v>
      </c>
      <c r="H20" s="21">
        <f>'Green+Social Interface'!$O$6</f>
        <v>7.0000000000000007E-2</v>
      </c>
      <c r="I20" s="22"/>
      <c r="J20" s="168">
        <f t="shared" si="0"/>
        <v>0</v>
      </c>
      <c r="K20" s="32">
        <f t="shared" si="2"/>
        <v>0</v>
      </c>
      <c r="L20" s="151">
        <f t="shared" si="3"/>
        <v>0</v>
      </c>
      <c r="M20" s="23">
        <f t="shared" si="4"/>
        <v>0</v>
      </c>
      <c r="N20" s="23">
        <f t="shared" ref="N20:AZ20" si="18">M20*(1+$C$70)</f>
        <v>0</v>
      </c>
      <c r="O20" s="23">
        <f t="shared" si="18"/>
        <v>0</v>
      </c>
      <c r="P20" s="23">
        <f t="shared" si="18"/>
        <v>0</v>
      </c>
      <c r="Q20" s="23">
        <f t="shared" si="18"/>
        <v>0</v>
      </c>
      <c r="R20" s="23">
        <f t="shared" si="18"/>
        <v>0</v>
      </c>
      <c r="S20" s="23">
        <f t="shared" si="18"/>
        <v>0</v>
      </c>
      <c r="T20" s="23">
        <f t="shared" si="18"/>
        <v>0</v>
      </c>
      <c r="U20" s="23">
        <f t="shared" si="18"/>
        <v>0</v>
      </c>
      <c r="V20" s="23">
        <f t="shared" si="18"/>
        <v>0</v>
      </c>
      <c r="W20" s="23">
        <f t="shared" si="18"/>
        <v>0</v>
      </c>
      <c r="X20" s="23">
        <f t="shared" si="18"/>
        <v>0</v>
      </c>
      <c r="Y20" s="23">
        <f t="shared" si="18"/>
        <v>0</v>
      </c>
      <c r="Z20" s="23">
        <f t="shared" si="18"/>
        <v>0</v>
      </c>
      <c r="AA20" s="23">
        <f t="shared" si="18"/>
        <v>0</v>
      </c>
      <c r="AB20" s="23">
        <f t="shared" si="18"/>
        <v>0</v>
      </c>
      <c r="AC20" s="23">
        <f t="shared" si="18"/>
        <v>0</v>
      </c>
      <c r="AD20" s="23">
        <f t="shared" si="18"/>
        <v>0</v>
      </c>
      <c r="AE20" s="23">
        <f t="shared" si="18"/>
        <v>0</v>
      </c>
      <c r="AF20" s="23">
        <f t="shared" si="18"/>
        <v>0</v>
      </c>
      <c r="AG20" s="23">
        <f t="shared" si="18"/>
        <v>0</v>
      </c>
      <c r="AH20" s="23">
        <f t="shared" si="18"/>
        <v>0</v>
      </c>
      <c r="AI20" s="23">
        <f t="shared" si="18"/>
        <v>0</v>
      </c>
      <c r="AJ20" s="23">
        <f t="shared" si="18"/>
        <v>0</v>
      </c>
      <c r="AK20" s="23">
        <f t="shared" si="18"/>
        <v>0</v>
      </c>
      <c r="AL20" s="23">
        <f t="shared" si="18"/>
        <v>0</v>
      </c>
      <c r="AM20" s="23">
        <f t="shared" si="18"/>
        <v>0</v>
      </c>
      <c r="AN20" s="23">
        <f t="shared" si="18"/>
        <v>0</v>
      </c>
      <c r="AO20" s="23">
        <f t="shared" si="18"/>
        <v>0</v>
      </c>
      <c r="AP20" s="23">
        <f t="shared" si="18"/>
        <v>0</v>
      </c>
      <c r="AQ20" s="23">
        <f t="shared" si="18"/>
        <v>0</v>
      </c>
      <c r="AR20" s="23">
        <f t="shared" si="18"/>
        <v>0</v>
      </c>
      <c r="AS20" s="23">
        <f t="shared" si="18"/>
        <v>0</v>
      </c>
      <c r="AT20" s="23">
        <f t="shared" si="18"/>
        <v>0</v>
      </c>
      <c r="AU20" s="23">
        <f t="shared" si="18"/>
        <v>0</v>
      </c>
      <c r="AV20" s="23">
        <f t="shared" si="18"/>
        <v>0</v>
      </c>
      <c r="AW20" s="23">
        <f t="shared" si="18"/>
        <v>0</v>
      </c>
      <c r="AX20" s="23">
        <f t="shared" si="18"/>
        <v>0</v>
      </c>
      <c r="AY20" s="23">
        <f t="shared" si="18"/>
        <v>0</v>
      </c>
      <c r="AZ20" s="23">
        <f t="shared" si="18"/>
        <v>0</v>
      </c>
    </row>
    <row r="21" spans="1:52" x14ac:dyDescent="0.25">
      <c r="A21" s="118" t="s">
        <v>933</v>
      </c>
      <c r="B21" s="24" t="s">
        <v>135</v>
      </c>
      <c r="C21" s="25" t="s">
        <v>6</v>
      </c>
      <c r="D21" s="25" t="s">
        <v>70</v>
      </c>
      <c r="E21" s="294">
        <f>'Green+Social Interface'!$O$18*'Green+Social Interface'!$P$18</f>
        <v>0</v>
      </c>
      <c r="F21" s="344">
        <f>$I$89</f>
        <v>1.5585293443410517</v>
      </c>
      <c r="G21" s="356">
        <f>F21*VLOOKUP('Green+Social Interface'!$I$38,'Look-ups'!$A$15:$B$43,2,0)</f>
        <v>1.6676263984449256</v>
      </c>
      <c r="H21" s="21">
        <f>'Green+Social Interface'!$O$6</f>
        <v>7.0000000000000007E-2</v>
      </c>
      <c r="I21" s="22"/>
      <c r="J21" s="168">
        <f t="shared" si="0"/>
        <v>0</v>
      </c>
      <c r="K21" s="32">
        <f t="shared" si="2"/>
        <v>0</v>
      </c>
      <c r="L21" s="151">
        <f t="shared" si="3"/>
        <v>0</v>
      </c>
      <c r="M21" s="23">
        <f t="shared" si="4"/>
        <v>0</v>
      </c>
      <c r="N21" s="23">
        <f t="shared" ref="N21:AZ21" si="19">M21*(1+$C$70)</f>
        <v>0</v>
      </c>
      <c r="O21" s="23">
        <f t="shared" si="19"/>
        <v>0</v>
      </c>
      <c r="P21" s="23">
        <f t="shared" si="19"/>
        <v>0</v>
      </c>
      <c r="Q21" s="23">
        <f t="shared" si="19"/>
        <v>0</v>
      </c>
      <c r="R21" s="23">
        <f t="shared" si="19"/>
        <v>0</v>
      </c>
      <c r="S21" s="23">
        <f t="shared" si="19"/>
        <v>0</v>
      </c>
      <c r="T21" s="23">
        <f t="shared" si="19"/>
        <v>0</v>
      </c>
      <c r="U21" s="23">
        <f t="shared" si="19"/>
        <v>0</v>
      </c>
      <c r="V21" s="23">
        <f t="shared" si="19"/>
        <v>0</v>
      </c>
      <c r="W21" s="23">
        <f t="shared" si="19"/>
        <v>0</v>
      </c>
      <c r="X21" s="23">
        <f t="shared" si="19"/>
        <v>0</v>
      </c>
      <c r="Y21" s="23">
        <f t="shared" si="19"/>
        <v>0</v>
      </c>
      <c r="Z21" s="23">
        <f t="shared" si="19"/>
        <v>0</v>
      </c>
      <c r="AA21" s="23">
        <f t="shared" si="19"/>
        <v>0</v>
      </c>
      <c r="AB21" s="23">
        <f t="shared" si="19"/>
        <v>0</v>
      </c>
      <c r="AC21" s="23">
        <f t="shared" si="19"/>
        <v>0</v>
      </c>
      <c r="AD21" s="23">
        <f t="shared" si="19"/>
        <v>0</v>
      </c>
      <c r="AE21" s="23">
        <f t="shared" si="19"/>
        <v>0</v>
      </c>
      <c r="AF21" s="23">
        <f t="shared" si="19"/>
        <v>0</v>
      </c>
      <c r="AG21" s="23">
        <f t="shared" si="19"/>
        <v>0</v>
      </c>
      <c r="AH21" s="23">
        <f t="shared" si="19"/>
        <v>0</v>
      </c>
      <c r="AI21" s="23">
        <f t="shared" si="19"/>
        <v>0</v>
      </c>
      <c r="AJ21" s="23">
        <f t="shared" si="19"/>
        <v>0</v>
      </c>
      <c r="AK21" s="23">
        <f t="shared" si="19"/>
        <v>0</v>
      </c>
      <c r="AL21" s="23">
        <f t="shared" si="19"/>
        <v>0</v>
      </c>
      <c r="AM21" s="23">
        <f t="shared" si="19"/>
        <v>0</v>
      </c>
      <c r="AN21" s="23">
        <f t="shared" si="19"/>
        <v>0</v>
      </c>
      <c r="AO21" s="23">
        <f t="shared" si="19"/>
        <v>0</v>
      </c>
      <c r="AP21" s="23">
        <f t="shared" si="19"/>
        <v>0</v>
      </c>
      <c r="AQ21" s="23">
        <f t="shared" si="19"/>
        <v>0</v>
      </c>
      <c r="AR21" s="23">
        <f t="shared" si="19"/>
        <v>0</v>
      </c>
      <c r="AS21" s="23">
        <f t="shared" si="19"/>
        <v>0</v>
      </c>
      <c r="AT21" s="23">
        <f t="shared" si="19"/>
        <v>0</v>
      </c>
      <c r="AU21" s="23">
        <f t="shared" si="19"/>
        <v>0</v>
      </c>
      <c r="AV21" s="23">
        <f t="shared" si="19"/>
        <v>0</v>
      </c>
      <c r="AW21" s="23">
        <f t="shared" si="19"/>
        <v>0</v>
      </c>
      <c r="AX21" s="23">
        <f t="shared" si="19"/>
        <v>0</v>
      </c>
      <c r="AY21" s="23">
        <f t="shared" si="19"/>
        <v>0</v>
      </c>
      <c r="AZ21" s="23">
        <f t="shared" si="19"/>
        <v>0</v>
      </c>
    </row>
    <row r="22" spans="1:52" x14ac:dyDescent="0.25">
      <c r="A22" s="118" t="s">
        <v>933</v>
      </c>
      <c r="B22" s="24"/>
      <c r="C22" s="25" t="s">
        <v>7</v>
      </c>
      <c r="D22" s="25" t="s">
        <v>70</v>
      </c>
      <c r="E22" s="294">
        <f>'Green+Social Interface'!$O$19*'Green+Social Interface'!$P$19</f>
        <v>0</v>
      </c>
      <c r="F22" s="344">
        <f>$I$89</f>
        <v>1.5585293443410517</v>
      </c>
      <c r="G22" s="356">
        <f>F22*VLOOKUP('Green+Social Interface'!$I$38,'Look-ups'!$A$15:$B$43,2,0)</f>
        <v>1.6676263984449256</v>
      </c>
      <c r="H22" s="21">
        <f>'Green+Social Interface'!$O$6</f>
        <v>7.0000000000000007E-2</v>
      </c>
      <c r="I22" s="22"/>
      <c r="J22" s="168">
        <f t="shared" si="0"/>
        <v>0</v>
      </c>
      <c r="K22" s="32">
        <f t="shared" si="2"/>
        <v>0</v>
      </c>
      <c r="L22" s="151">
        <f t="shared" si="3"/>
        <v>0</v>
      </c>
      <c r="M22" s="23">
        <f t="shared" si="4"/>
        <v>0</v>
      </c>
      <c r="N22" s="23">
        <f t="shared" ref="N22:AZ22" si="20">M22*(1+$C$70)</f>
        <v>0</v>
      </c>
      <c r="O22" s="23">
        <f t="shared" si="20"/>
        <v>0</v>
      </c>
      <c r="P22" s="23">
        <f t="shared" si="20"/>
        <v>0</v>
      </c>
      <c r="Q22" s="23">
        <f t="shared" si="20"/>
        <v>0</v>
      </c>
      <c r="R22" s="23">
        <f t="shared" si="20"/>
        <v>0</v>
      </c>
      <c r="S22" s="23">
        <f t="shared" si="20"/>
        <v>0</v>
      </c>
      <c r="T22" s="23">
        <f t="shared" si="20"/>
        <v>0</v>
      </c>
      <c r="U22" s="23">
        <f t="shared" si="20"/>
        <v>0</v>
      </c>
      <c r="V22" s="23">
        <f t="shared" si="20"/>
        <v>0</v>
      </c>
      <c r="W22" s="23">
        <f t="shared" si="20"/>
        <v>0</v>
      </c>
      <c r="X22" s="23">
        <f t="shared" si="20"/>
        <v>0</v>
      </c>
      <c r="Y22" s="23">
        <f t="shared" si="20"/>
        <v>0</v>
      </c>
      <c r="Z22" s="23">
        <f t="shared" si="20"/>
        <v>0</v>
      </c>
      <c r="AA22" s="23">
        <f t="shared" si="20"/>
        <v>0</v>
      </c>
      <c r="AB22" s="23">
        <f t="shared" si="20"/>
        <v>0</v>
      </c>
      <c r="AC22" s="23">
        <f t="shared" si="20"/>
        <v>0</v>
      </c>
      <c r="AD22" s="23">
        <f t="shared" si="20"/>
        <v>0</v>
      </c>
      <c r="AE22" s="23">
        <f t="shared" si="20"/>
        <v>0</v>
      </c>
      <c r="AF22" s="23">
        <f t="shared" si="20"/>
        <v>0</v>
      </c>
      <c r="AG22" s="23">
        <f t="shared" si="20"/>
        <v>0</v>
      </c>
      <c r="AH22" s="23">
        <f t="shared" si="20"/>
        <v>0</v>
      </c>
      <c r="AI22" s="23">
        <f t="shared" si="20"/>
        <v>0</v>
      </c>
      <c r="AJ22" s="23">
        <f t="shared" si="20"/>
        <v>0</v>
      </c>
      <c r="AK22" s="23">
        <f t="shared" si="20"/>
        <v>0</v>
      </c>
      <c r="AL22" s="23">
        <f t="shared" si="20"/>
        <v>0</v>
      </c>
      <c r="AM22" s="23">
        <f t="shared" si="20"/>
        <v>0</v>
      </c>
      <c r="AN22" s="23">
        <f t="shared" si="20"/>
        <v>0</v>
      </c>
      <c r="AO22" s="23">
        <f t="shared" si="20"/>
        <v>0</v>
      </c>
      <c r="AP22" s="23">
        <f t="shared" si="20"/>
        <v>0</v>
      </c>
      <c r="AQ22" s="23">
        <f t="shared" si="20"/>
        <v>0</v>
      </c>
      <c r="AR22" s="23">
        <f t="shared" si="20"/>
        <v>0</v>
      </c>
      <c r="AS22" s="23">
        <f t="shared" si="20"/>
        <v>0</v>
      </c>
      <c r="AT22" s="23">
        <f t="shared" si="20"/>
        <v>0</v>
      </c>
      <c r="AU22" s="23">
        <f t="shared" si="20"/>
        <v>0</v>
      </c>
      <c r="AV22" s="23">
        <f t="shared" si="20"/>
        <v>0</v>
      </c>
      <c r="AW22" s="23">
        <f t="shared" si="20"/>
        <v>0</v>
      </c>
      <c r="AX22" s="23">
        <f t="shared" si="20"/>
        <v>0</v>
      </c>
      <c r="AY22" s="23">
        <f t="shared" si="20"/>
        <v>0</v>
      </c>
      <c r="AZ22" s="23">
        <f t="shared" si="20"/>
        <v>0</v>
      </c>
    </row>
    <row r="23" spans="1:52" x14ac:dyDescent="0.25">
      <c r="A23" s="118" t="s">
        <v>933</v>
      </c>
      <c r="B23" s="24"/>
      <c r="C23" s="25" t="s">
        <v>8</v>
      </c>
      <c r="D23" s="25" t="s">
        <v>70</v>
      </c>
      <c r="E23" s="294">
        <f>'Green+Social Interface'!$O$20*'Green+Social Interface'!$P$20</f>
        <v>0</v>
      </c>
      <c r="F23" s="344">
        <f>$I$89</f>
        <v>1.5585293443410517</v>
      </c>
      <c r="G23" s="356">
        <f>F23*VLOOKUP('Green+Social Interface'!$I$38,'Look-ups'!$A$15:$B$43,2,0)</f>
        <v>1.6676263984449256</v>
      </c>
      <c r="H23" s="21">
        <f>'Green+Social Interface'!$O$6</f>
        <v>7.0000000000000007E-2</v>
      </c>
      <c r="I23" s="22"/>
      <c r="J23" s="168">
        <f t="shared" si="0"/>
        <v>0</v>
      </c>
      <c r="K23" s="32">
        <f t="shared" si="2"/>
        <v>0</v>
      </c>
      <c r="L23" s="151">
        <f t="shared" si="3"/>
        <v>0</v>
      </c>
      <c r="M23" s="23">
        <f t="shared" si="4"/>
        <v>0</v>
      </c>
      <c r="N23" s="23">
        <f t="shared" ref="N23:AZ23" si="21">M23*(1+$C$70)</f>
        <v>0</v>
      </c>
      <c r="O23" s="23">
        <f t="shared" si="21"/>
        <v>0</v>
      </c>
      <c r="P23" s="23">
        <f t="shared" si="21"/>
        <v>0</v>
      </c>
      <c r="Q23" s="23">
        <f t="shared" si="21"/>
        <v>0</v>
      </c>
      <c r="R23" s="23">
        <f t="shared" si="21"/>
        <v>0</v>
      </c>
      <c r="S23" s="23">
        <f t="shared" si="21"/>
        <v>0</v>
      </c>
      <c r="T23" s="23">
        <f t="shared" si="21"/>
        <v>0</v>
      </c>
      <c r="U23" s="23">
        <f t="shared" si="21"/>
        <v>0</v>
      </c>
      <c r="V23" s="23">
        <f t="shared" si="21"/>
        <v>0</v>
      </c>
      <c r="W23" s="23">
        <f t="shared" si="21"/>
        <v>0</v>
      </c>
      <c r="X23" s="23">
        <f t="shared" si="21"/>
        <v>0</v>
      </c>
      <c r="Y23" s="23">
        <f t="shared" si="21"/>
        <v>0</v>
      </c>
      <c r="Z23" s="23">
        <f t="shared" si="21"/>
        <v>0</v>
      </c>
      <c r="AA23" s="23">
        <f t="shared" si="21"/>
        <v>0</v>
      </c>
      <c r="AB23" s="23">
        <f t="shared" si="21"/>
        <v>0</v>
      </c>
      <c r="AC23" s="23">
        <f t="shared" si="21"/>
        <v>0</v>
      </c>
      <c r="AD23" s="23">
        <f t="shared" si="21"/>
        <v>0</v>
      </c>
      <c r="AE23" s="23">
        <f t="shared" si="21"/>
        <v>0</v>
      </c>
      <c r="AF23" s="23">
        <f t="shared" si="21"/>
        <v>0</v>
      </c>
      <c r="AG23" s="23">
        <f t="shared" si="21"/>
        <v>0</v>
      </c>
      <c r="AH23" s="23">
        <f t="shared" si="21"/>
        <v>0</v>
      </c>
      <c r="AI23" s="23">
        <f t="shared" si="21"/>
        <v>0</v>
      </c>
      <c r="AJ23" s="23">
        <f t="shared" si="21"/>
        <v>0</v>
      </c>
      <c r="AK23" s="23">
        <f t="shared" si="21"/>
        <v>0</v>
      </c>
      <c r="AL23" s="23">
        <f t="shared" si="21"/>
        <v>0</v>
      </c>
      <c r="AM23" s="23">
        <f t="shared" si="21"/>
        <v>0</v>
      </c>
      <c r="AN23" s="23">
        <f t="shared" si="21"/>
        <v>0</v>
      </c>
      <c r="AO23" s="23">
        <f t="shared" si="21"/>
        <v>0</v>
      </c>
      <c r="AP23" s="23">
        <f t="shared" si="21"/>
        <v>0</v>
      </c>
      <c r="AQ23" s="23">
        <f t="shared" si="21"/>
        <v>0</v>
      </c>
      <c r="AR23" s="23">
        <f t="shared" si="21"/>
        <v>0</v>
      </c>
      <c r="AS23" s="23">
        <f t="shared" si="21"/>
        <v>0</v>
      </c>
      <c r="AT23" s="23">
        <f t="shared" si="21"/>
        <v>0</v>
      </c>
      <c r="AU23" s="23">
        <f t="shared" si="21"/>
        <v>0</v>
      </c>
      <c r="AV23" s="23">
        <f t="shared" si="21"/>
        <v>0</v>
      </c>
      <c r="AW23" s="23">
        <f t="shared" si="21"/>
        <v>0</v>
      </c>
      <c r="AX23" s="23">
        <f t="shared" si="21"/>
        <v>0</v>
      </c>
      <c r="AY23" s="23">
        <f t="shared" si="21"/>
        <v>0</v>
      </c>
      <c r="AZ23" s="23">
        <f t="shared" si="21"/>
        <v>0</v>
      </c>
    </row>
    <row r="24" spans="1:52" x14ac:dyDescent="0.25">
      <c r="A24" s="118" t="s">
        <v>933</v>
      </c>
      <c r="B24" s="24"/>
      <c r="C24" s="25" t="s">
        <v>9</v>
      </c>
      <c r="D24" s="25" t="s">
        <v>70</v>
      </c>
      <c r="E24" s="294">
        <f>'Green+Social Interface'!$O$21*'Green+Social Interface'!$P$21</f>
        <v>0</v>
      </c>
      <c r="F24" s="344">
        <f>$I$89</f>
        <v>1.5585293443410517</v>
      </c>
      <c r="G24" s="356">
        <f>F24*VLOOKUP('Green+Social Interface'!$I$38,'Look-ups'!$A$15:$B$43,2,0)</f>
        <v>1.6676263984449256</v>
      </c>
      <c r="H24" s="21">
        <f>'Green+Social Interface'!$O$6</f>
        <v>7.0000000000000007E-2</v>
      </c>
      <c r="I24" s="22"/>
      <c r="J24" s="168">
        <f t="shared" si="0"/>
        <v>0</v>
      </c>
      <c r="K24" s="32">
        <f t="shared" si="2"/>
        <v>0</v>
      </c>
      <c r="L24" s="151">
        <f t="shared" si="3"/>
        <v>0</v>
      </c>
      <c r="M24" s="23">
        <f t="shared" si="4"/>
        <v>0</v>
      </c>
      <c r="N24" s="23">
        <f t="shared" ref="N24:AZ24" si="22">M24*(1+$C$70)</f>
        <v>0</v>
      </c>
      <c r="O24" s="23">
        <f t="shared" si="22"/>
        <v>0</v>
      </c>
      <c r="P24" s="23">
        <f t="shared" si="22"/>
        <v>0</v>
      </c>
      <c r="Q24" s="23">
        <f t="shared" si="22"/>
        <v>0</v>
      </c>
      <c r="R24" s="23">
        <f t="shared" si="22"/>
        <v>0</v>
      </c>
      <c r="S24" s="23">
        <f t="shared" si="22"/>
        <v>0</v>
      </c>
      <c r="T24" s="23">
        <f t="shared" si="22"/>
        <v>0</v>
      </c>
      <c r="U24" s="23">
        <f t="shared" si="22"/>
        <v>0</v>
      </c>
      <c r="V24" s="23">
        <f t="shared" si="22"/>
        <v>0</v>
      </c>
      <c r="W24" s="23">
        <f t="shared" si="22"/>
        <v>0</v>
      </c>
      <c r="X24" s="23">
        <f t="shared" si="22"/>
        <v>0</v>
      </c>
      <c r="Y24" s="23">
        <f t="shared" si="22"/>
        <v>0</v>
      </c>
      <c r="Z24" s="23">
        <f t="shared" si="22"/>
        <v>0</v>
      </c>
      <c r="AA24" s="23">
        <f t="shared" si="22"/>
        <v>0</v>
      </c>
      <c r="AB24" s="23">
        <f t="shared" si="22"/>
        <v>0</v>
      </c>
      <c r="AC24" s="23">
        <f t="shared" si="22"/>
        <v>0</v>
      </c>
      <c r="AD24" s="23">
        <f t="shared" si="22"/>
        <v>0</v>
      </c>
      <c r="AE24" s="23">
        <f t="shared" si="22"/>
        <v>0</v>
      </c>
      <c r="AF24" s="23">
        <f t="shared" si="22"/>
        <v>0</v>
      </c>
      <c r="AG24" s="23">
        <f t="shared" si="22"/>
        <v>0</v>
      </c>
      <c r="AH24" s="23">
        <f t="shared" si="22"/>
        <v>0</v>
      </c>
      <c r="AI24" s="23">
        <f t="shared" si="22"/>
        <v>0</v>
      </c>
      <c r="AJ24" s="23">
        <f t="shared" si="22"/>
        <v>0</v>
      </c>
      <c r="AK24" s="23">
        <f t="shared" si="22"/>
        <v>0</v>
      </c>
      <c r="AL24" s="23">
        <f t="shared" si="22"/>
        <v>0</v>
      </c>
      <c r="AM24" s="23">
        <f t="shared" si="22"/>
        <v>0</v>
      </c>
      <c r="AN24" s="23">
        <f t="shared" si="22"/>
        <v>0</v>
      </c>
      <c r="AO24" s="23">
        <f t="shared" si="22"/>
        <v>0</v>
      </c>
      <c r="AP24" s="23">
        <f t="shared" si="22"/>
        <v>0</v>
      </c>
      <c r="AQ24" s="23">
        <f t="shared" si="22"/>
        <v>0</v>
      </c>
      <c r="AR24" s="23">
        <f t="shared" si="22"/>
        <v>0</v>
      </c>
      <c r="AS24" s="23">
        <f t="shared" si="22"/>
        <v>0</v>
      </c>
      <c r="AT24" s="23">
        <f t="shared" si="22"/>
        <v>0</v>
      </c>
      <c r="AU24" s="23">
        <f t="shared" si="22"/>
        <v>0</v>
      </c>
      <c r="AV24" s="23">
        <f t="shared" si="22"/>
        <v>0</v>
      </c>
      <c r="AW24" s="23">
        <f t="shared" si="22"/>
        <v>0</v>
      </c>
      <c r="AX24" s="23">
        <f t="shared" si="22"/>
        <v>0</v>
      </c>
      <c r="AY24" s="23">
        <f t="shared" si="22"/>
        <v>0</v>
      </c>
      <c r="AZ24" s="23">
        <f t="shared" si="22"/>
        <v>0</v>
      </c>
    </row>
    <row r="25" spans="1:52" x14ac:dyDescent="0.25">
      <c r="A25" s="118" t="s">
        <v>933</v>
      </c>
      <c r="B25" s="24"/>
      <c r="C25" s="25" t="s">
        <v>11</v>
      </c>
      <c r="D25" s="25" t="s">
        <v>70</v>
      </c>
      <c r="E25" s="294">
        <f>'Green+Social Interface'!$O$22*'Green+Social Interface'!$P$22</f>
        <v>0</v>
      </c>
      <c r="F25" s="344">
        <f>$I$89</f>
        <v>1.5585293443410517</v>
      </c>
      <c r="G25" s="356">
        <f>F25*VLOOKUP('Green+Social Interface'!$I$38,'Look-ups'!$A$15:$B$43,2,0)</f>
        <v>1.6676263984449256</v>
      </c>
      <c r="H25" s="21">
        <f>'Green+Social Interface'!$O$6</f>
        <v>7.0000000000000007E-2</v>
      </c>
      <c r="I25" s="22"/>
      <c r="J25" s="168">
        <f t="shared" si="0"/>
        <v>0</v>
      </c>
      <c r="K25" s="32">
        <f t="shared" si="2"/>
        <v>0</v>
      </c>
      <c r="L25" s="151">
        <f t="shared" si="3"/>
        <v>0</v>
      </c>
      <c r="M25" s="23">
        <f t="shared" si="4"/>
        <v>0</v>
      </c>
      <c r="N25" s="23">
        <f t="shared" ref="N25:AZ25" si="23">M25*(1+$C$70)</f>
        <v>0</v>
      </c>
      <c r="O25" s="23">
        <f t="shared" si="23"/>
        <v>0</v>
      </c>
      <c r="P25" s="23">
        <f t="shared" si="23"/>
        <v>0</v>
      </c>
      <c r="Q25" s="23">
        <f t="shared" si="23"/>
        <v>0</v>
      </c>
      <c r="R25" s="23">
        <f t="shared" si="23"/>
        <v>0</v>
      </c>
      <c r="S25" s="23">
        <f t="shared" si="23"/>
        <v>0</v>
      </c>
      <c r="T25" s="23">
        <f t="shared" si="23"/>
        <v>0</v>
      </c>
      <c r="U25" s="23">
        <f t="shared" si="23"/>
        <v>0</v>
      </c>
      <c r="V25" s="23">
        <f t="shared" si="23"/>
        <v>0</v>
      </c>
      <c r="W25" s="23">
        <f t="shared" si="23"/>
        <v>0</v>
      </c>
      <c r="X25" s="23">
        <f t="shared" si="23"/>
        <v>0</v>
      </c>
      <c r="Y25" s="23">
        <f t="shared" si="23"/>
        <v>0</v>
      </c>
      <c r="Z25" s="23">
        <f t="shared" si="23"/>
        <v>0</v>
      </c>
      <c r="AA25" s="23">
        <f t="shared" si="23"/>
        <v>0</v>
      </c>
      <c r="AB25" s="23">
        <f t="shared" si="23"/>
        <v>0</v>
      </c>
      <c r="AC25" s="23">
        <f t="shared" si="23"/>
        <v>0</v>
      </c>
      <c r="AD25" s="23">
        <f t="shared" si="23"/>
        <v>0</v>
      </c>
      <c r="AE25" s="23">
        <f t="shared" si="23"/>
        <v>0</v>
      </c>
      <c r="AF25" s="23">
        <f t="shared" si="23"/>
        <v>0</v>
      </c>
      <c r="AG25" s="23">
        <f t="shared" si="23"/>
        <v>0</v>
      </c>
      <c r="AH25" s="23">
        <f t="shared" si="23"/>
        <v>0</v>
      </c>
      <c r="AI25" s="23">
        <f t="shared" si="23"/>
        <v>0</v>
      </c>
      <c r="AJ25" s="23">
        <f t="shared" si="23"/>
        <v>0</v>
      </c>
      <c r="AK25" s="23">
        <f t="shared" si="23"/>
        <v>0</v>
      </c>
      <c r="AL25" s="23">
        <f t="shared" si="23"/>
        <v>0</v>
      </c>
      <c r="AM25" s="23">
        <f t="shared" si="23"/>
        <v>0</v>
      </c>
      <c r="AN25" s="23">
        <f t="shared" si="23"/>
        <v>0</v>
      </c>
      <c r="AO25" s="23">
        <f t="shared" si="23"/>
        <v>0</v>
      </c>
      <c r="AP25" s="23">
        <f t="shared" si="23"/>
        <v>0</v>
      </c>
      <c r="AQ25" s="23">
        <f t="shared" si="23"/>
        <v>0</v>
      </c>
      <c r="AR25" s="23">
        <f t="shared" si="23"/>
        <v>0</v>
      </c>
      <c r="AS25" s="23">
        <f t="shared" si="23"/>
        <v>0</v>
      </c>
      <c r="AT25" s="23">
        <f t="shared" si="23"/>
        <v>0</v>
      </c>
      <c r="AU25" s="23">
        <f t="shared" si="23"/>
        <v>0</v>
      </c>
      <c r="AV25" s="23">
        <f t="shared" si="23"/>
        <v>0</v>
      </c>
      <c r="AW25" s="23">
        <f t="shared" si="23"/>
        <v>0</v>
      </c>
      <c r="AX25" s="23">
        <f t="shared" si="23"/>
        <v>0</v>
      </c>
      <c r="AY25" s="23">
        <f t="shared" si="23"/>
        <v>0</v>
      </c>
      <c r="AZ25" s="23">
        <f t="shared" si="23"/>
        <v>0</v>
      </c>
    </row>
    <row r="26" spans="1:52" x14ac:dyDescent="0.25">
      <c r="A26" s="118"/>
      <c r="B26" s="295" t="s">
        <v>936</v>
      </c>
      <c r="C26" s="25"/>
      <c r="D26" s="25"/>
      <c r="E26" s="294"/>
      <c r="F26" s="27"/>
      <c r="G26" s="166"/>
      <c r="H26" s="21"/>
      <c r="I26" s="22"/>
      <c r="J26" s="32"/>
      <c r="K26" s="32"/>
      <c r="L26" s="152"/>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row>
    <row r="27" spans="1:52" x14ac:dyDescent="0.25">
      <c r="A27" s="118"/>
      <c r="B27" s="24" t="s">
        <v>939</v>
      </c>
      <c r="C27" s="25"/>
      <c r="D27" s="25" t="s">
        <v>70</v>
      </c>
      <c r="E27" s="296"/>
      <c r="F27" s="27"/>
      <c r="G27" s="166"/>
      <c r="H27" s="21"/>
      <c r="I27" s="22"/>
      <c r="J27" s="168">
        <f>IF(AND(K27&gt;0,$C$67&gt;0),K27/$C$67,0)</f>
        <v>0</v>
      </c>
      <c r="K27" s="32">
        <f t="shared" si="2"/>
        <v>0</v>
      </c>
      <c r="L27" s="151">
        <f t="shared" si="3"/>
        <v>0</v>
      </c>
      <c r="M27" s="33">
        <f>SUM(M6:M26)</f>
        <v>0</v>
      </c>
      <c r="N27" s="33">
        <f t="shared" ref="N27:AZ27" si="24">SUM(N6:N26)</f>
        <v>0</v>
      </c>
      <c r="O27" s="33">
        <f t="shared" si="24"/>
        <v>0</v>
      </c>
      <c r="P27" s="33">
        <f t="shared" si="24"/>
        <v>0</v>
      </c>
      <c r="Q27" s="33">
        <f t="shared" si="24"/>
        <v>0</v>
      </c>
      <c r="R27" s="33">
        <f t="shared" si="24"/>
        <v>0</v>
      </c>
      <c r="S27" s="33">
        <f t="shared" si="24"/>
        <v>0</v>
      </c>
      <c r="T27" s="33">
        <f t="shared" si="24"/>
        <v>0</v>
      </c>
      <c r="U27" s="33">
        <f t="shared" si="24"/>
        <v>0</v>
      </c>
      <c r="V27" s="33">
        <f t="shared" si="24"/>
        <v>0</v>
      </c>
      <c r="W27" s="33">
        <f t="shared" si="24"/>
        <v>0</v>
      </c>
      <c r="X27" s="33">
        <f t="shared" si="24"/>
        <v>0</v>
      </c>
      <c r="Y27" s="33">
        <f t="shared" si="24"/>
        <v>0</v>
      </c>
      <c r="Z27" s="33">
        <f t="shared" si="24"/>
        <v>0</v>
      </c>
      <c r="AA27" s="33">
        <f t="shared" si="24"/>
        <v>0</v>
      </c>
      <c r="AB27" s="33">
        <f t="shared" si="24"/>
        <v>0</v>
      </c>
      <c r="AC27" s="33">
        <f t="shared" si="24"/>
        <v>0</v>
      </c>
      <c r="AD27" s="33">
        <f t="shared" si="24"/>
        <v>0</v>
      </c>
      <c r="AE27" s="33">
        <f t="shared" si="24"/>
        <v>0</v>
      </c>
      <c r="AF27" s="33">
        <f t="shared" si="24"/>
        <v>0</v>
      </c>
      <c r="AG27" s="33">
        <f t="shared" si="24"/>
        <v>0</v>
      </c>
      <c r="AH27" s="33">
        <f t="shared" si="24"/>
        <v>0</v>
      </c>
      <c r="AI27" s="33">
        <f t="shared" si="24"/>
        <v>0</v>
      </c>
      <c r="AJ27" s="33">
        <f t="shared" si="24"/>
        <v>0</v>
      </c>
      <c r="AK27" s="33">
        <f t="shared" si="24"/>
        <v>0</v>
      </c>
      <c r="AL27" s="33">
        <f t="shared" si="24"/>
        <v>0</v>
      </c>
      <c r="AM27" s="33">
        <f t="shared" si="24"/>
        <v>0</v>
      </c>
      <c r="AN27" s="33">
        <f t="shared" si="24"/>
        <v>0</v>
      </c>
      <c r="AO27" s="33">
        <f t="shared" si="24"/>
        <v>0</v>
      </c>
      <c r="AP27" s="33">
        <f t="shared" si="24"/>
        <v>0</v>
      </c>
      <c r="AQ27" s="33">
        <f t="shared" si="24"/>
        <v>0</v>
      </c>
      <c r="AR27" s="33">
        <f t="shared" si="24"/>
        <v>0</v>
      </c>
      <c r="AS27" s="33">
        <f t="shared" si="24"/>
        <v>0</v>
      </c>
      <c r="AT27" s="33">
        <f t="shared" si="24"/>
        <v>0</v>
      </c>
      <c r="AU27" s="33">
        <f t="shared" si="24"/>
        <v>0</v>
      </c>
      <c r="AV27" s="33">
        <f t="shared" si="24"/>
        <v>0</v>
      </c>
      <c r="AW27" s="33">
        <f t="shared" si="24"/>
        <v>0</v>
      </c>
      <c r="AX27" s="33">
        <f t="shared" si="24"/>
        <v>0</v>
      </c>
      <c r="AY27" s="33">
        <f t="shared" si="24"/>
        <v>0</v>
      </c>
      <c r="AZ27" s="33">
        <f t="shared" si="24"/>
        <v>0</v>
      </c>
    </row>
    <row r="28" spans="1:52" x14ac:dyDescent="0.25">
      <c r="B28" s="24" t="s">
        <v>930</v>
      </c>
      <c r="C28" s="25"/>
      <c r="D28" s="25"/>
      <c r="E28" s="34"/>
      <c r="F28" s="27"/>
      <c r="G28" s="166"/>
      <c r="H28" s="21"/>
      <c r="I28" s="22"/>
      <c r="J28" s="32"/>
      <c r="K28" s="32"/>
      <c r="L28" s="152"/>
      <c r="M28" s="33"/>
      <c r="N28" s="33"/>
      <c r="O28" s="33"/>
      <c r="P28" s="33"/>
      <c r="Q28" s="33"/>
      <c r="R28" s="33"/>
      <c r="S28" s="33"/>
      <c r="T28" s="33"/>
      <c r="U28" s="33"/>
      <c r="V28" s="33"/>
      <c r="W28" s="33"/>
      <c r="X28" s="33"/>
      <c r="Y28" s="33"/>
      <c r="Z28" s="33"/>
      <c r="AA28" s="33"/>
      <c r="AB28" s="33"/>
      <c r="AC28" s="33"/>
      <c r="AD28" s="33"/>
      <c r="AE28" s="33"/>
      <c r="AF28" s="33"/>
      <c r="AG28" s="33"/>
      <c r="AH28" s="33"/>
      <c r="AI28" s="33"/>
      <c r="AJ28" s="33"/>
      <c r="AK28" s="33"/>
      <c r="AL28" s="33"/>
      <c r="AM28" s="33"/>
      <c r="AN28" s="33"/>
      <c r="AO28" s="33"/>
      <c r="AP28" s="33"/>
      <c r="AQ28" s="33"/>
      <c r="AR28" s="33"/>
      <c r="AS28" s="33"/>
      <c r="AT28" s="33"/>
      <c r="AU28" s="33"/>
      <c r="AV28" s="33"/>
      <c r="AW28" s="33"/>
      <c r="AX28" s="33"/>
      <c r="AY28" s="33"/>
      <c r="AZ28" s="33"/>
    </row>
    <row r="29" spans="1:52" x14ac:dyDescent="0.25">
      <c r="B29" s="24" t="s">
        <v>5</v>
      </c>
      <c r="C29" s="29" t="s">
        <v>10</v>
      </c>
      <c r="D29" s="25" t="s">
        <v>66</v>
      </c>
      <c r="E29" s="293">
        <f>'Green+Social Interface'!$J$18*'Green+Social Interface'!$I$18</f>
        <v>0</v>
      </c>
      <c r="F29" s="344">
        <f>$D$87</f>
        <v>1.2322330891931508</v>
      </c>
      <c r="G29" t="s">
        <v>942</v>
      </c>
      <c r="H29" s="21">
        <f>'Green+Social Interface'!$O$6</f>
        <v>7.0000000000000007E-2</v>
      </c>
      <c r="I29" s="22"/>
      <c r="J29" s="168">
        <f t="shared" ref="J29:J48" si="25">IF(AND(K29&gt;0,$C$67&gt;0),K29/$C$67,0)</f>
        <v>0</v>
      </c>
      <c r="K29" s="297">
        <f t="shared" ref="K29" si="26">AVERAGE(M29:AZ29)</f>
        <v>0</v>
      </c>
      <c r="L29" s="298">
        <f t="shared" ref="L29" si="27">SUM(M29:AZ29)</f>
        <v>0</v>
      </c>
      <c r="M29" s="31">
        <f>(E29*F29)*(1-H29)</f>
        <v>0</v>
      </c>
      <c r="N29" s="31">
        <f>M29</f>
        <v>0</v>
      </c>
      <c r="O29" s="31">
        <f t="shared" ref="O29:AZ36" si="28">N29</f>
        <v>0</v>
      </c>
      <c r="P29" s="31">
        <f t="shared" si="28"/>
        <v>0</v>
      </c>
      <c r="Q29" s="31">
        <f t="shared" si="28"/>
        <v>0</v>
      </c>
      <c r="R29" s="31">
        <f t="shared" si="28"/>
        <v>0</v>
      </c>
      <c r="S29" s="31">
        <f t="shared" si="28"/>
        <v>0</v>
      </c>
      <c r="T29" s="31">
        <f t="shared" si="28"/>
        <v>0</v>
      </c>
      <c r="U29" s="31">
        <f t="shared" si="28"/>
        <v>0</v>
      </c>
      <c r="V29" s="31">
        <f t="shared" si="28"/>
        <v>0</v>
      </c>
      <c r="W29" s="31">
        <f t="shared" si="28"/>
        <v>0</v>
      </c>
      <c r="X29" s="31">
        <f t="shared" si="28"/>
        <v>0</v>
      </c>
      <c r="Y29" s="31">
        <f t="shared" si="28"/>
        <v>0</v>
      </c>
      <c r="Z29" s="31">
        <f t="shared" si="28"/>
        <v>0</v>
      </c>
      <c r="AA29" s="31">
        <f t="shared" si="28"/>
        <v>0</v>
      </c>
      <c r="AB29" s="31">
        <f t="shared" si="28"/>
        <v>0</v>
      </c>
      <c r="AC29" s="31">
        <f t="shared" si="28"/>
        <v>0</v>
      </c>
      <c r="AD29" s="31">
        <f t="shared" si="28"/>
        <v>0</v>
      </c>
      <c r="AE29" s="31">
        <f t="shared" si="28"/>
        <v>0</v>
      </c>
      <c r="AF29" s="31">
        <f t="shared" si="28"/>
        <v>0</v>
      </c>
      <c r="AG29" s="31">
        <f t="shared" si="28"/>
        <v>0</v>
      </c>
      <c r="AH29" s="31">
        <f t="shared" si="28"/>
        <v>0</v>
      </c>
      <c r="AI29" s="31">
        <f t="shared" si="28"/>
        <v>0</v>
      </c>
      <c r="AJ29" s="31">
        <f t="shared" si="28"/>
        <v>0</v>
      </c>
      <c r="AK29" s="31">
        <f t="shared" si="28"/>
        <v>0</v>
      </c>
      <c r="AL29" s="31">
        <f t="shared" si="28"/>
        <v>0</v>
      </c>
      <c r="AM29" s="31">
        <f t="shared" si="28"/>
        <v>0</v>
      </c>
      <c r="AN29" s="31">
        <f t="shared" si="28"/>
        <v>0</v>
      </c>
      <c r="AO29" s="31">
        <f t="shared" si="28"/>
        <v>0</v>
      </c>
      <c r="AP29" s="31">
        <f t="shared" si="28"/>
        <v>0</v>
      </c>
      <c r="AQ29" s="31">
        <f t="shared" si="28"/>
        <v>0</v>
      </c>
      <c r="AR29" s="31">
        <f t="shared" si="28"/>
        <v>0</v>
      </c>
      <c r="AS29" s="31">
        <f t="shared" si="28"/>
        <v>0</v>
      </c>
      <c r="AT29" s="31">
        <f t="shared" si="28"/>
        <v>0</v>
      </c>
      <c r="AU29" s="31">
        <f t="shared" si="28"/>
        <v>0</v>
      </c>
      <c r="AV29" s="31">
        <f t="shared" si="28"/>
        <v>0</v>
      </c>
      <c r="AW29" s="31">
        <f t="shared" si="28"/>
        <v>0</v>
      </c>
      <c r="AX29" s="31">
        <f t="shared" si="28"/>
        <v>0</v>
      </c>
      <c r="AY29" s="31">
        <f t="shared" si="28"/>
        <v>0</v>
      </c>
      <c r="AZ29" s="31">
        <f t="shared" si="28"/>
        <v>0</v>
      </c>
    </row>
    <row r="30" spans="1:52" x14ac:dyDescent="0.25">
      <c r="B30" s="24"/>
      <c r="C30" s="25" t="s">
        <v>6</v>
      </c>
      <c r="D30" s="25" t="s">
        <v>66</v>
      </c>
      <c r="E30" s="293">
        <f>'Green+Social Interface'!$J$19*'Green+Social Interface'!$I$19</f>
        <v>0</v>
      </c>
      <c r="F30" s="344">
        <f>$D$87</f>
        <v>1.2322330891931508</v>
      </c>
      <c r="G30" t="s">
        <v>942</v>
      </c>
      <c r="H30" s="21">
        <f>'Green+Social Interface'!$O$6</f>
        <v>7.0000000000000007E-2</v>
      </c>
      <c r="I30" s="22"/>
      <c r="J30" s="168">
        <f t="shared" si="25"/>
        <v>0</v>
      </c>
      <c r="K30" s="297">
        <f t="shared" ref="K30:K48" si="29">AVERAGE(M30:AZ30)</f>
        <v>0</v>
      </c>
      <c r="L30" s="298">
        <f t="shared" ref="L30:L48" si="30">SUM(M30:AZ30)</f>
        <v>0</v>
      </c>
      <c r="M30" s="31">
        <f t="shared" ref="M30:M48" si="31">(E30*F30)*(1-H30)</f>
        <v>0</v>
      </c>
      <c r="N30" s="31">
        <f t="shared" ref="N30:AC48" si="32">M30</f>
        <v>0</v>
      </c>
      <c r="O30" s="31">
        <f t="shared" si="32"/>
        <v>0</v>
      </c>
      <c r="P30" s="31">
        <f t="shared" si="32"/>
        <v>0</v>
      </c>
      <c r="Q30" s="31">
        <f t="shared" si="32"/>
        <v>0</v>
      </c>
      <c r="R30" s="31">
        <f t="shared" si="32"/>
        <v>0</v>
      </c>
      <c r="S30" s="31">
        <f t="shared" si="32"/>
        <v>0</v>
      </c>
      <c r="T30" s="31">
        <f t="shared" si="32"/>
        <v>0</v>
      </c>
      <c r="U30" s="31">
        <f t="shared" si="32"/>
        <v>0</v>
      </c>
      <c r="V30" s="31">
        <f t="shared" si="32"/>
        <v>0</v>
      </c>
      <c r="W30" s="31">
        <f t="shared" si="32"/>
        <v>0</v>
      </c>
      <c r="X30" s="31">
        <f t="shared" si="32"/>
        <v>0</v>
      </c>
      <c r="Y30" s="31">
        <f t="shared" si="32"/>
        <v>0</v>
      </c>
      <c r="Z30" s="31">
        <f t="shared" si="32"/>
        <v>0</v>
      </c>
      <c r="AA30" s="31">
        <f t="shared" si="32"/>
        <v>0</v>
      </c>
      <c r="AB30" s="31">
        <f t="shared" si="32"/>
        <v>0</v>
      </c>
      <c r="AC30" s="31">
        <f t="shared" si="32"/>
        <v>0</v>
      </c>
      <c r="AD30" s="31">
        <f t="shared" si="28"/>
        <v>0</v>
      </c>
      <c r="AE30" s="31">
        <f t="shared" si="28"/>
        <v>0</v>
      </c>
      <c r="AF30" s="31">
        <f t="shared" si="28"/>
        <v>0</v>
      </c>
      <c r="AG30" s="31">
        <f t="shared" si="28"/>
        <v>0</v>
      </c>
      <c r="AH30" s="31">
        <f t="shared" si="28"/>
        <v>0</v>
      </c>
      <c r="AI30" s="31">
        <f t="shared" si="28"/>
        <v>0</v>
      </c>
      <c r="AJ30" s="31">
        <f t="shared" si="28"/>
        <v>0</v>
      </c>
      <c r="AK30" s="31">
        <f t="shared" si="28"/>
        <v>0</v>
      </c>
      <c r="AL30" s="31">
        <f t="shared" si="28"/>
        <v>0</v>
      </c>
      <c r="AM30" s="31">
        <f t="shared" si="28"/>
        <v>0</v>
      </c>
      <c r="AN30" s="31">
        <f t="shared" si="28"/>
        <v>0</v>
      </c>
      <c r="AO30" s="31">
        <f t="shared" si="28"/>
        <v>0</v>
      </c>
      <c r="AP30" s="31">
        <f t="shared" si="28"/>
        <v>0</v>
      </c>
      <c r="AQ30" s="31">
        <f t="shared" si="28"/>
        <v>0</v>
      </c>
      <c r="AR30" s="31">
        <f t="shared" si="28"/>
        <v>0</v>
      </c>
      <c r="AS30" s="31">
        <f t="shared" si="28"/>
        <v>0</v>
      </c>
      <c r="AT30" s="31">
        <f t="shared" si="28"/>
        <v>0</v>
      </c>
      <c r="AU30" s="31">
        <f t="shared" si="28"/>
        <v>0</v>
      </c>
      <c r="AV30" s="31">
        <f t="shared" si="28"/>
        <v>0</v>
      </c>
      <c r="AW30" s="31">
        <f t="shared" si="28"/>
        <v>0</v>
      </c>
      <c r="AX30" s="31">
        <f t="shared" si="28"/>
        <v>0</v>
      </c>
      <c r="AY30" s="31">
        <f t="shared" si="28"/>
        <v>0</v>
      </c>
      <c r="AZ30" s="31">
        <f t="shared" si="28"/>
        <v>0</v>
      </c>
    </row>
    <row r="31" spans="1:52" x14ac:dyDescent="0.25">
      <c r="B31" s="24"/>
      <c r="C31" s="25" t="s">
        <v>7</v>
      </c>
      <c r="D31" s="25" t="s">
        <v>66</v>
      </c>
      <c r="E31" s="293">
        <f>'Green+Social Interface'!$J$20*'Green+Social Interface'!$I$20</f>
        <v>0</v>
      </c>
      <c r="F31" s="344">
        <f>$D$87</f>
        <v>1.2322330891931508</v>
      </c>
      <c r="G31" t="s">
        <v>942</v>
      </c>
      <c r="H31" s="21">
        <f>'Green+Social Interface'!$O$6</f>
        <v>7.0000000000000007E-2</v>
      </c>
      <c r="I31" s="22"/>
      <c r="J31" s="168">
        <f t="shared" si="25"/>
        <v>0</v>
      </c>
      <c r="K31" s="297">
        <f t="shared" si="29"/>
        <v>0</v>
      </c>
      <c r="L31" s="298">
        <f t="shared" si="30"/>
        <v>0</v>
      </c>
      <c r="M31" s="31">
        <f t="shared" si="31"/>
        <v>0</v>
      </c>
      <c r="N31" s="31">
        <f t="shared" si="32"/>
        <v>0</v>
      </c>
      <c r="O31" s="31">
        <f t="shared" si="28"/>
        <v>0</v>
      </c>
      <c r="P31" s="31">
        <f t="shared" si="28"/>
        <v>0</v>
      </c>
      <c r="Q31" s="31">
        <f t="shared" si="28"/>
        <v>0</v>
      </c>
      <c r="R31" s="31">
        <f t="shared" si="28"/>
        <v>0</v>
      </c>
      <c r="S31" s="31">
        <f t="shared" si="28"/>
        <v>0</v>
      </c>
      <c r="T31" s="31">
        <f t="shared" si="28"/>
        <v>0</v>
      </c>
      <c r="U31" s="31">
        <f t="shared" si="28"/>
        <v>0</v>
      </c>
      <c r="V31" s="31">
        <f t="shared" si="28"/>
        <v>0</v>
      </c>
      <c r="W31" s="31">
        <f t="shared" si="28"/>
        <v>0</v>
      </c>
      <c r="X31" s="31">
        <f t="shared" si="28"/>
        <v>0</v>
      </c>
      <c r="Y31" s="31">
        <f t="shared" si="28"/>
        <v>0</v>
      </c>
      <c r="Z31" s="31">
        <f t="shared" si="28"/>
        <v>0</v>
      </c>
      <c r="AA31" s="31">
        <f t="shared" si="28"/>
        <v>0</v>
      </c>
      <c r="AB31" s="31">
        <f t="shared" si="28"/>
        <v>0</v>
      </c>
      <c r="AC31" s="31">
        <f t="shared" si="28"/>
        <v>0</v>
      </c>
      <c r="AD31" s="31">
        <f t="shared" si="28"/>
        <v>0</v>
      </c>
      <c r="AE31" s="31">
        <f t="shared" si="28"/>
        <v>0</v>
      </c>
      <c r="AF31" s="31">
        <f t="shared" si="28"/>
        <v>0</v>
      </c>
      <c r="AG31" s="31">
        <f t="shared" si="28"/>
        <v>0</v>
      </c>
      <c r="AH31" s="31">
        <f t="shared" si="28"/>
        <v>0</v>
      </c>
      <c r="AI31" s="31">
        <f t="shared" si="28"/>
        <v>0</v>
      </c>
      <c r="AJ31" s="31">
        <f t="shared" si="28"/>
        <v>0</v>
      </c>
      <c r="AK31" s="31">
        <f t="shared" si="28"/>
        <v>0</v>
      </c>
      <c r="AL31" s="31">
        <f t="shared" si="28"/>
        <v>0</v>
      </c>
      <c r="AM31" s="31">
        <f t="shared" si="28"/>
        <v>0</v>
      </c>
      <c r="AN31" s="31">
        <f t="shared" si="28"/>
        <v>0</v>
      </c>
      <c r="AO31" s="31">
        <f t="shared" si="28"/>
        <v>0</v>
      </c>
      <c r="AP31" s="31">
        <f t="shared" si="28"/>
        <v>0</v>
      </c>
      <c r="AQ31" s="31">
        <f t="shared" si="28"/>
        <v>0</v>
      </c>
      <c r="AR31" s="31">
        <f t="shared" si="28"/>
        <v>0</v>
      </c>
      <c r="AS31" s="31">
        <f t="shared" si="28"/>
        <v>0</v>
      </c>
      <c r="AT31" s="31">
        <f t="shared" si="28"/>
        <v>0</v>
      </c>
      <c r="AU31" s="31">
        <f t="shared" si="28"/>
        <v>0</v>
      </c>
      <c r="AV31" s="31">
        <f t="shared" si="28"/>
        <v>0</v>
      </c>
      <c r="AW31" s="31">
        <f t="shared" si="28"/>
        <v>0</v>
      </c>
      <c r="AX31" s="31">
        <f t="shared" si="28"/>
        <v>0</v>
      </c>
      <c r="AY31" s="31">
        <f t="shared" si="28"/>
        <v>0</v>
      </c>
      <c r="AZ31" s="31">
        <f t="shared" si="28"/>
        <v>0</v>
      </c>
    </row>
    <row r="32" spans="1:52" x14ac:dyDescent="0.25">
      <c r="B32" s="24"/>
      <c r="C32" s="25" t="s">
        <v>8</v>
      </c>
      <c r="D32" s="25" t="s">
        <v>66</v>
      </c>
      <c r="E32" s="293">
        <f>'Green+Social Interface'!$J$21*'Green+Social Interface'!$I$21</f>
        <v>0</v>
      </c>
      <c r="F32" s="344">
        <f>$D$87</f>
        <v>1.2322330891931508</v>
      </c>
      <c r="G32" t="s">
        <v>942</v>
      </c>
      <c r="H32" s="21">
        <f>'Green+Social Interface'!$O$6</f>
        <v>7.0000000000000007E-2</v>
      </c>
      <c r="I32" s="22"/>
      <c r="J32" s="168">
        <f t="shared" si="25"/>
        <v>0</v>
      </c>
      <c r="K32" s="297">
        <f t="shared" si="29"/>
        <v>0</v>
      </c>
      <c r="L32" s="298">
        <f t="shared" si="30"/>
        <v>0</v>
      </c>
      <c r="M32" s="31">
        <f t="shared" si="31"/>
        <v>0</v>
      </c>
      <c r="N32" s="31">
        <f t="shared" si="32"/>
        <v>0</v>
      </c>
      <c r="O32" s="31">
        <f t="shared" si="28"/>
        <v>0</v>
      </c>
      <c r="P32" s="31">
        <f t="shared" si="28"/>
        <v>0</v>
      </c>
      <c r="Q32" s="31">
        <f t="shared" si="28"/>
        <v>0</v>
      </c>
      <c r="R32" s="31">
        <f t="shared" si="28"/>
        <v>0</v>
      </c>
      <c r="S32" s="31">
        <f t="shared" si="28"/>
        <v>0</v>
      </c>
      <c r="T32" s="31">
        <f t="shared" si="28"/>
        <v>0</v>
      </c>
      <c r="U32" s="31">
        <f t="shared" si="28"/>
        <v>0</v>
      </c>
      <c r="V32" s="31">
        <f t="shared" si="28"/>
        <v>0</v>
      </c>
      <c r="W32" s="31">
        <f t="shared" si="28"/>
        <v>0</v>
      </c>
      <c r="X32" s="31">
        <f t="shared" si="28"/>
        <v>0</v>
      </c>
      <c r="Y32" s="31">
        <f t="shared" si="28"/>
        <v>0</v>
      </c>
      <c r="Z32" s="31">
        <f t="shared" si="28"/>
        <v>0</v>
      </c>
      <c r="AA32" s="31">
        <f t="shared" si="28"/>
        <v>0</v>
      </c>
      <c r="AB32" s="31">
        <f t="shared" si="28"/>
        <v>0</v>
      </c>
      <c r="AC32" s="31">
        <f t="shared" si="28"/>
        <v>0</v>
      </c>
      <c r="AD32" s="31">
        <f t="shared" si="28"/>
        <v>0</v>
      </c>
      <c r="AE32" s="31">
        <f t="shared" si="28"/>
        <v>0</v>
      </c>
      <c r="AF32" s="31">
        <f t="shared" si="28"/>
        <v>0</v>
      </c>
      <c r="AG32" s="31">
        <f t="shared" si="28"/>
        <v>0</v>
      </c>
      <c r="AH32" s="31">
        <f t="shared" si="28"/>
        <v>0</v>
      </c>
      <c r="AI32" s="31">
        <f t="shared" si="28"/>
        <v>0</v>
      </c>
      <c r="AJ32" s="31">
        <f t="shared" si="28"/>
        <v>0</v>
      </c>
      <c r="AK32" s="31">
        <f t="shared" si="28"/>
        <v>0</v>
      </c>
      <c r="AL32" s="31">
        <f t="shared" si="28"/>
        <v>0</v>
      </c>
      <c r="AM32" s="31">
        <f t="shared" si="28"/>
        <v>0</v>
      </c>
      <c r="AN32" s="31">
        <f t="shared" si="28"/>
        <v>0</v>
      </c>
      <c r="AO32" s="31">
        <f t="shared" si="28"/>
        <v>0</v>
      </c>
      <c r="AP32" s="31">
        <f t="shared" si="28"/>
        <v>0</v>
      </c>
      <c r="AQ32" s="31">
        <f t="shared" si="28"/>
        <v>0</v>
      </c>
      <c r="AR32" s="31">
        <f t="shared" si="28"/>
        <v>0</v>
      </c>
      <c r="AS32" s="31">
        <f t="shared" si="28"/>
        <v>0</v>
      </c>
      <c r="AT32" s="31">
        <f t="shared" si="28"/>
        <v>0</v>
      </c>
      <c r="AU32" s="31">
        <f t="shared" si="28"/>
        <v>0</v>
      </c>
      <c r="AV32" s="31">
        <f t="shared" si="28"/>
        <v>0</v>
      </c>
      <c r="AW32" s="31">
        <f t="shared" si="28"/>
        <v>0</v>
      </c>
      <c r="AX32" s="31">
        <f t="shared" si="28"/>
        <v>0</v>
      </c>
      <c r="AY32" s="31">
        <f t="shared" si="28"/>
        <v>0</v>
      </c>
      <c r="AZ32" s="31">
        <f t="shared" si="28"/>
        <v>0</v>
      </c>
    </row>
    <row r="33" spans="2:52" x14ac:dyDescent="0.25">
      <c r="B33" s="24"/>
      <c r="C33" s="25" t="s">
        <v>9</v>
      </c>
      <c r="D33" s="25" t="s">
        <v>66</v>
      </c>
      <c r="E33" s="293">
        <f>'Green+Social Interface'!$J$22*'Green+Social Interface'!$I$22</f>
        <v>0</v>
      </c>
      <c r="F33" s="344">
        <f>$D$87</f>
        <v>1.2322330891931508</v>
      </c>
      <c r="G33" t="s">
        <v>942</v>
      </c>
      <c r="H33" s="21">
        <f>'Green+Social Interface'!$O$6</f>
        <v>7.0000000000000007E-2</v>
      </c>
      <c r="I33" s="22"/>
      <c r="J33" s="168">
        <f t="shared" si="25"/>
        <v>0</v>
      </c>
      <c r="K33" s="297">
        <f t="shared" si="29"/>
        <v>0</v>
      </c>
      <c r="L33" s="298">
        <f t="shared" si="30"/>
        <v>0</v>
      </c>
      <c r="M33" s="31">
        <f t="shared" si="31"/>
        <v>0</v>
      </c>
      <c r="N33" s="31">
        <f t="shared" si="32"/>
        <v>0</v>
      </c>
      <c r="O33" s="31">
        <f t="shared" si="28"/>
        <v>0</v>
      </c>
      <c r="P33" s="31">
        <f t="shared" si="28"/>
        <v>0</v>
      </c>
      <c r="Q33" s="31">
        <f t="shared" si="28"/>
        <v>0</v>
      </c>
      <c r="R33" s="31">
        <f t="shared" si="28"/>
        <v>0</v>
      </c>
      <c r="S33" s="31">
        <f t="shared" si="28"/>
        <v>0</v>
      </c>
      <c r="T33" s="31">
        <f t="shared" si="28"/>
        <v>0</v>
      </c>
      <c r="U33" s="31">
        <f t="shared" si="28"/>
        <v>0</v>
      </c>
      <c r="V33" s="31">
        <f t="shared" si="28"/>
        <v>0</v>
      </c>
      <c r="W33" s="31">
        <f t="shared" si="28"/>
        <v>0</v>
      </c>
      <c r="X33" s="31">
        <f t="shared" si="28"/>
        <v>0</v>
      </c>
      <c r="Y33" s="31">
        <f t="shared" si="28"/>
        <v>0</v>
      </c>
      <c r="Z33" s="31">
        <f t="shared" si="28"/>
        <v>0</v>
      </c>
      <c r="AA33" s="31">
        <f t="shared" si="28"/>
        <v>0</v>
      </c>
      <c r="AB33" s="31">
        <f t="shared" si="28"/>
        <v>0</v>
      </c>
      <c r="AC33" s="31">
        <f t="shared" si="28"/>
        <v>0</v>
      </c>
      <c r="AD33" s="31">
        <f t="shared" si="28"/>
        <v>0</v>
      </c>
      <c r="AE33" s="31">
        <f t="shared" si="28"/>
        <v>0</v>
      </c>
      <c r="AF33" s="31">
        <f t="shared" si="28"/>
        <v>0</v>
      </c>
      <c r="AG33" s="31">
        <f t="shared" si="28"/>
        <v>0</v>
      </c>
      <c r="AH33" s="31">
        <f t="shared" si="28"/>
        <v>0</v>
      </c>
      <c r="AI33" s="31">
        <f t="shared" si="28"/>
        <v>0</v>
      </c>
      <c r="AJ33" s="31">
        <f t="shared" si="28"/>
        <v>0</v>
      </c>
      <c r="AK33" s="31">
        <f t="shared" si="28"/>
        <v>0</v>
      </c>
      <c r="AL33" s="31">
        <f t="shared" si="28"/>
        <v>0</v>
      </c>
      <c r="AM33" s="31">
        <f t="shared" si="28"/>
        <v>0</v>
      </c>
      <c r="AN33" s="31">
        <f t="shared" si="28"/>
        <v>0</v>
      </c>
      <c r="AO33" s="31">
        <f t="shared" si="28"/>
        <v>0</v>
      </c>
      <c r="AP33" s="31">
        <f t="shared" si="28"/>
        <v>0</v>
      </c>
      <c r="AQ33" s="31">
        <f t="shared" si="28"/>
        <v>0</v>
      </c>
      <c r="AR33" s="31">
        <f t="shared" si="28"/>
        <v>0</v>
      </c>
      <c r="AS33" s="31">
        <f t="shared" si="28"/>
        <v>0</v>
      </c>
      <c r="AT33" s="31">
        <f t="shared" si="28"/>
        <v>0</v>
      </c>
      <c r="AU33" s="31">
        <f t="shared" si="28"/>
        <v>0</v>
      </c>
      <c r="AV33" s="31">
        <f t="shared" si="28"/>
        <v>0</v>
      </c>
      <c r="AW33" s="31">
        <f t="shared" si="28"/>
        <v>0</v>
      </c>
      <c r="AX33" s="31">
        <f t="shared" si="28"/>
        <v>0</v>
      </c>
      <c r="AY33" s="31">
        <f t="shared" si="28"/>
        <v>0</v>
      </c>
      <c r="AZ33" s="31">
        <f t="shared" si="28"/>
        <v>0</v>
      </c>
    </row>
    <row r="34" spans="2:52" x14ac:dyDescent="0.25">
      <c r="B34" s="24" t="s">
        <v>135</v>
      </c>
      <c r="C34" s="25" t="s">
        <v>6</v>
      </c>
      <c r="D34" s="25" t="s">
        <v>66</v>
      </c>
      <c r="E34" s="294">
        <f>'Green+Social Interface'!$D$18*'Green+Social Interface'!$E$18</f>
        <v>0</v>
      </c>
      <c r="F34" s="344">
        <f>$D$82</f>
        <v>1.2322330891931508</v>
      </c>
      <c r="G34" t="s">
        <v>942</v>
      </c>
      <c r="H34" s="21">
        <f>'Green+Social Interface'!$O$6</f>
        <v>7.0000000000000007E-2</v>
      </c>
      <c r="I34" s="22"/>
      <c r="J34" s="168">
        <f t="shared" si="25"/>
        <v>0</v>
      </c>
      <c r="K34" s="297">
        <f t="shared" si="29"/>
        <v>0</v>
      </c>
      <c r="L34" s="298">
        <f t="shared" si="30"/>
        <v>0</v>
      </c>
      <c r="M34" s="31">
        <f t="shared" si="31"/>
        <v>0</v>
      </c>
      <c r="N34" s="31">
        <f t="shared" si="32"/>
        <v>0</v>
      </c>
      <c r="O34" s="31">
        <f t="shared" si="28"/>
        <v>0</v>
      </c>
      <c r="P34" s="31">
        <f t="shared" si="28"/>
        <v>0</v>
      </c>
      <c r="Q34" s="31">
        <f t="shared" si="28"/>
        <v>0</v>
      </c>
      <c r="R34" s="31">
        <f t="shared" si="28"/>
        <v>0</v>
      </c>
      <c r="S34" s="31">
        <f t="shared" si="28"/>
        <v>0</v>
      </c>
      <c r="T34" s="31">
        <f t="shared" si="28"/>
        <v>0</v>
      </c>
      <c r="U34" s="31">
        <f t="shared" si="28"/>
        <v>0</v>
      </c>
      <c r="V34" s="31">
        <f t="shared" si="28"/>
        <v>0</v>
      </c>
      <c r="W34" s="31">
        <f t="shared" si="28"/>
        <v>0</v>
      </c>
      <c r="X34" s="31">
        <f t="shared" si="28"/>
        <v>0</v>
      </c>
      <c r="Y34" s="31">
        <f t="shared" si="28"/>
        <v>0</v>
      </c>
      <c r="Z34" s="31">
        <f t="shared" si="28"/>
        <v>0</v>
      </c>
      <c r="AA34" s="31">
        <f t="shared" si="28"/>
        <v>0</v>
      </c>
      <c r="AB34" s="31">
        <f t="shared" si="28"/>
        <v>0</v>
      </c>
      <c r="AC34" s="31">
        <f t="shared" si="28"/>
        <v>0</v>
      </c>
      <c r="AD34" s="31">
        <f t="shared" si="28"/>
        <v>0</v>
      </c>
      <c r="AE34" s="31">
        <f t="shared" si="28"/>
        <v>0</v>
      </c>
      <c r="AF34" s="31">
        <f t="shared" si="28"/>
        <v>0</v>
      </c>
      <c r="AG34" s="31">
        <f t="shared" si="28"/>
        <v>0</v>
      </c>
      <c r="AH34" s="31">
        <f t="shared" si="28"/>
        <v>0</v>
      </c>
      <c r="AI34" s="31">
        <f t="shared" si="28"/>
        <v>0</v>
      </c>
      <c r="AJ34" s="31">
        <f t="shared" si="28"/>
        <v>0</v>
      </c>
      <c r="AK34" s="31">
        <f t="shared" si="28"/>
        <v>0</v>
      </c>
      <c r="AL34" s="31">
        <f t="shared" si="28"/>
        <v>0</v>
      </c>
      <c r="AM34" s="31">
        <f t="shared" si="28"/>
        <v>0</v>
      </c>
      <c r="AN34" s="31">
        <f t="shared" si="28"/>
        <v>0</v>
      </c>
      <c r="AO34" s="31">
        <f t="shared" si="28"/>
        <v>0</v>
      </c>
      <c r="AP34" s="31">
        <f t="shared" si="28"/>
        <v>0</v>
      </c>
      <c r="AQ34" s="31">
        <f t="shared" si="28"/>
        <v>0</v>
      </c>
      <c r="AR34" s="31">
        <f t="shared" si="28"/>
        <v>0</v>
      </c>
      <c r="AS34" s="31">
        <f t="shared" si="28"/>
        <v>0</v>
      </c>
      <c r="AT34" s="31">
        <f t="shared" si="28"/>
        <v>0</v>
      </c>
      <c r="AU34" s="31">
        <f t="shared" si="28"/>
        <v>0</v>
      </c>
      <c r="AV34" s="31">
        <f t="shared" si="28"/>
        <v>0</v>
      </c>
      <c r="AW34" s="31">
        <f t="shared" si="28"/>
        <v>0</v>
      </c>
      <c r="AX34" s="31">
        <f t="shared" si="28"/>
        <v>0</v>
      </c>
      <c r="AY34" s="31">
        <f t="shared" si="28"/>
        <v>0</v>
      </c>
      <c r="AZ34" s="31">
        <f t="shared" si="28"/>
        <v>0</v>
      </c>
    </row>
    <row r="35" spans="2:52" x14ac:dyDescent="0.25">
      <c r="B35" s="24"/>
      <c r="C35" s="25" t="s">
        <v>7</v>
      </c>
      <c r="D35" s="25" t="s">
        <v>66</v>
      </c>
      <c r="E35" s="294">
        <f>'Green+Social Interface'!$D$19*'Green+Social Interface'!$E$19</f>
        <v>0</v>
      </c>
      <c r="F35" s="344">
        <f>$D$82</f>
        <v>1.2322330891931508</v>
      </c>
      <c r="G35" t="s">
        <v>942</v>
      </c>
      <c r="H35" s="21">
        <f>'Green+Social Interface'!$O$6</f>
        <v>7.0000000000000007E-2</v>
      </c>
      <c r="I35" s="22"/>
      <c r="J35" s="168">
        <f t="shared" si="25"/>
        <v>0</v>
      </c>
      <c r="K35" s="297">
        <f t="shared" si="29"/>
        <v>0</v>
      </c>
      <c r="L35" s="298">
        <f t="shared" si="30"/>
        <v>0</v>
      </c>
      <c r="M35" s="31">
        <f t="shared" si="31"/>
        <v>0</v>
      </c>
      <c r="N35" s="31">
        <f t="shared" si="32"/>
        <v>0</v>
      </c>
      <c r="O35" s="31">
        <f t="shared" si="28"/>
        <v>0</v>
      </c>
      <c r="P35" s="31">
        <f t="shared" si="28"/>
        <v>0</v>
      </c>
      <c r="Q35" s="31">
        <f t="shared" si="28"/>
        <v>0</v>
      </c>
      <c r="R35" s="31">
        <f t="shared" si="28"/>
        <v>0</v>
      </c>
      <c r="S35" s="31">
        <f t="shared" si="28"/>
        <v>0</v>
      </c>
      <c r="T35" s="31">
        <f t="shared" si="28"/>
        <v>0</v>
      </c>
      <c r="U35" s="31">
        <f t="shared" si="28"/>
        <v>0</v>
      </c>
      <c r="V35" s="31">
        <f t="shared" si="28"/>
        <v>0</v>
      </c>
      <c r="W35" s="31">
        <f t="shared" si="28"/>
        <v>0</v>
      </c>
      <c r="X35" s="31">
        <f t="shared" si="28"/>
        <v>0</v>
      </c>
      <c r="Y35" s="31">
        <f t="shared" si="28"/>
        <v>0</v>
      </c>
      <c r="Z35" s="31">
        <f t="shared" si="28"/>
        <v>0</v>
      </c>
      <c r="AA35" s="31">
        <f t="shared" si="28"/>
        <v>0</v>
      </c>
      <c r="AB35" s="31">
        <f t="shared" si="28"/>
        <v>0</v>
      </c>
      <c r="AC35" s="31">
        <f t="shared" si="28"/>
        <v>0</v>
      </c>
      <c r="AD35" s="31">
        <f t="shared" si="28"/>
        <v>0</v>
      </c>
      <c r="AE35" s="31">
        <f t="shared" si="28"/>
        <v>0</v>
      </c>
      <c r="AF35" s="31">
        <f t="shared" si="28"/>
        <v>0</v>
      </c>
      <c r="AG35" s="31">
        <f t="shared" si="28"/>
        <v>0</v>
      </c>
      <c r="AH35" s="31">
        <f t="shared" si="28"/>
        <v>0</v>
      </c>
      <c r="AI35" s="31">
        <f t="shared" si="28"/>
        <v>0</v>
      </c>
      <c r="AJ35" s="31">
        <f t="shared" si="28"/>
        <v>0</v>
      </c>
      <c r="AK35" s="31">
        <f t="shared" si="28"/>
        <v>0</v>
      </c>
      <c r="AL35" s="31">
        <f t="shared" si="28"/>
        <v>0</v>
      </c>
      <c r="AM35" s="31">
        <f t="shared" si="28"/>
        <v>0</v>
      </c>
      <c r="AN35" s="31">
        <f t="shared" si="28"/>
        <v>0</v>
      </c>
      <c r="AO35" s="31">
        <f t="shared" si="28"/>
        <v>0</v>
      </c>
      <c r="AP35" s="31">
        <f t="shared" si="28"/>
        <v>0</v>
      </c>
      <c r="AQ35" s="31">
        <f t="shared" si="28"/>
        <v>0</v>
      </c>
      <c r="AR35" s="31">
        <f t="shared" si="28"/>
        <v>0</v>
      </c>
      <c r="AS35" s="31">
        <f t="shared" si="28"/>
        <v>0</v>
      </c>
      <c r="AT35" s="31">
        <f t="shared" si="28"/>
        <v>0</v>
      </c>
      <c r="AU35" s="31">
        <f t="shared" si="28"/>
        <v>0</v>
      </c>
      <c r="AV35" s="31">
        <f t="shared" si="28"/>
        <v>0</v>
      </c>
      <c r="AW35" s="31">
        <f t="shared" si="28"/>
        <v>0</v>
      </c>
      <c r="AX35" s="31">
        <f t="shared" si="28"/>
        <v>0</v>
      </c>
      <c r="AY35" s="31">
        <f t="shared" si="28"/>
        <v>0</v>
      </c>
      <c r="AZ35" s="31">
        <f t="shared" si="28"/>
        <v>0</v>
      </c>
    </row>
    <row r="36" spans="2:52" x14ac:dyDescent="0.25">
      <c r="B36" s="24"/>
      <c r="C36" s="25" t="s">
        <v>8</v>
      </c>
      <c r="D36" s="25" t="s">
        <v>66</v>
      </c>
      <c r="E36" s="294">
        <f>'Green+Social Interface'!$D$20*'Green+Social Interface'!$E$20</f>
        <v>0</v>
      </c>
      <c r="F36" s="344">
        <f>$D$82</f>
        <v>1.2322330891931508</v>
      </c>
      <c r="G36" t="s">
        <v>942</v>
      </c>
      <c r="H36" s="21">
        <f>'Green+Social Interface'!$O$6</f>
        <v>7.0000000000000007E-2</v>
      </c>
      <c r="I36" s="22"/>
      <c r="J36" s="168">
        <f t="shared" si="25"/>
        <v>0</v>
      </c>
      <c r="K36" s="297">
        <f t="shared" si="29"/>
        <v>0</v>
      </c>
      <c r="L36" s="298">
        <f t="shared" si="30"/>
        <v>0</v>
      </c>
      <c r="M36" s="31">
        <f t="shared" si="31"/>
        <v>0</v>
      </c>
      <c r="N36" s="31">
        <f t="shared" si="32"/>
        <v>0</v>
      </c>
      <c r="O36" s="31">
        <f t="shared" si="28"/>
        <v>0</v>
      </c>
      <c r="P36" s="31">
        <f t="shared" si="28"/>
        <v>0</v>
      </c>
      <c r="Q36" s="31">
        <f t="shared" si="28"/>
        <v>0</v>
      </c>
      <c r="R36" s="31">
        <f t="shared" si="28"/>
        <v>0</v>
      </c>
      <c r="S36" s="31">
        <f t="shared" ref="O36:AZ42" si="33">R36</f>
        <v>0</v>
      </c>
      <c r="T36" s="31">
        <f t="shared" si="33"/>
        <v>0</v>
      </c>
      <c r="U36" s="31">
        <f t="shared" si="33"/>
        <v>0</v>
      </c>
      <c r="V36" s="31">
        <f t="shared" si="33"/>
        <v>0</v>
      </c>
      <c r="W36" s="31">
        <f t="shared" si="33"/>
        <v>0</v>
      </c>
      <c r="X36" s="31">
        <f t="shared" si="33"/>
        <v>0</v>
      </c>
      <c r="Y36" s="31">
        <f t="shared" si="33"/>
        <v>0</v>
      </c>
      <c r="Z36" s="31">
        <f t="shared" si="33"/>
        <v>0</v>
      </c>
      <c r="AA36" s="31">
        <f t="shared" si="33"/>
        <v>0</v>
      </c>
      <c r="AB36" s="31">
        <f t="shared" si="33"/>
        <v>0</v>
      </c>
      <c r="AC36" s="31">
        <f t="shared" si="33"/>
        <v>0</v>
      </c>
      <c r="AD36" s="31">
        <f t="shared" si="33"/>
        <v>0</v>
      </c>
      <c r="AE36" s="31">
        <f t="shared" si="33"/>
        <v>0</v>
      </c>
      <c r="AF36" s="31">
        <f t="shared" si="33"/>
        <v>0</v>
      </c>
      <c r="AG36" s="31">
        <f t="shared" si="33"/>
        <v>0</v>
      </c>
      <c r="AH36" s="31">
        <f t="shared" si="33"/>
        <v>0</v>
      </c>
      <c r="AI36" s="31">
        <f t="shared" si="33"/>
        <v>0</v>
      </c>
      <c r="AJ36" s="31">
        <f t="shared" si="33"/>
        <v>0</v>
      </c>
      <c r="AK36" s="31">
        <f t="shared" si="33"/>
        <v>0</v>
      </c>
      <c r="AL36" s="31">
        <f t="shared" si="33"/>
        <v>0</v>
      </c>
      <c r="AM36" s="31">
        <f t="shared" si="33"/>
        <v>0</v>
      </c>
      <c r="AN36" s="31">
        <f t="shared" si="33"/>
        <v>0</v>
      </c>
      <c r="AO36" s="31">
        <f t="shared" si="33"/>
        <v>0</v>
      </c>
      <c r="AP36" s="31">
        <f t="shared" si="33"/>
        <v>0</v>
      </c>
      <c r="AQ36" s="31">
        <f t="shared" si="33"/>
        <v>0</v>
      </c>
      <c r="AR36" s="31">
        <f t="shared" si="33"/>
        <v>0</v>
      </c>
      <c r="AS36" s="31">
        <f t="shared" si="33"/>
        <v>0</v>
      </c>
      <c r="AT36" s="31">
        <f t="shared" si="33"/>
        <v>0</v>
      </c>
      <c r="AU36" s="31">
        <f t="shared" si="33"/>
        <v>0</v>
      </c>
      <c r="AV36" s="31">
        <f t="shared" si="33"/>
        <v>0</v>
      </c>
      <c r="AW36" s="31">
        <f t="shared" si="33"/>
        <v>0</v>
      </c>
      <c r="AX36" s="31">
        <f t="shared" si="33"/>
        <v>0</v>
      </c>
      <c r="AY36" s="31">
        <f t="shared" si="33"/>
        <v>0</v>
      </c>
      <c r="AZ36" s="31">
        <f t="shared" si="33"/>
        <v>0</v>
      </c>
    </row>
    <row r="37" spans="2:52" x14ac:dyDescent="0.25">
      <c r="B37" s="24"/>
      <c r="C37" s="25" t="s">
        <v>9</v>
      </c>
      <c r="D37" s="25" t="s">
        <v>66</v>
      </c>
      <c r="E37" s="294">
        <f>'Green+Social Interface'!$D$21*'Green+Social Interface'!$E$21</f>
        <v>0</v>
      </c>
      <c r="F37" s="344">
        <f>$D$82</f>
        <v>1.2322330891931508</v>
      </c>
      <c r="G37" t="s">
        <v>942</v>
      </c>
      <c r="H37" s="21">
        <f>'Green+Social Interface'!$O$6</f>
        <v>7.0000000000000007E-2</v>
      </c>
      <c r="I37" s="22"/>
      <c r="J37" s="168">
        <f t="shared" si="25"/>
        <v>0</v>
      </c>
      <c r="K37" s="297">
        <f t="shared" si="29"/>
        <v>0</v>
      </c>
      <c r="L37" s="298">
        <f t="shared" si="30"/>
        <v>0</v>
      </c>
      <c r="M37" s="31">
        <f t="shared" si="31"/>
        <v>0</v>
      </c>
      <c r="N37" s="31">
        <f t="shared" si="32"/>
        <v>0</v>
      </c>
      <c r="O37" s="31">
        <f t="shared" si="33"/>
        <v>0</v>
      </c>
      <c r="P37" s="31">
        <f t="shared" si="33"/>
        <v>0</v>
      </c>
      <c r="Q37" s="31">
        <f t="shared" si="33"/>
        <v>0</v>
      </c>
      <c r="R37" s="31">
        <f t="shared" si="33"/>
        <v>0</v>
      </c>
      <c r="S37" s="31">
        <f t="shared" si="33"/>
        <v>0</v>
      </c>
      <c r="T37" s="31">
        <f t="shared" si="33"/>
        <v>0</v>
      </c>
      <c r="U37" s="31">
        <f t="shared" si="33"/>
        <v>0</v>
      </c>
      <c r="V37" s="31">
        <f t="shared" si="33"/>
        <v>0</v>
      </c>
      <c r="W37" s="31">
        <f t="shared" si="33"/>
        <v>0</v>
      </c>
      <c r="X37" s="31">
        <f t="shared" si="33"/>
        <v>0</v>
      </c>
      <c r="Y37" s="31">
        <f t="shared" si="33"/>
        <v>0</v>
      </c>
      <c r="Z37" s="31">
        <f t="shared" si="33"/>
        <v>0</v>
      </c>
      <c r="AA37" s="31">
        <f t="shared" si="33"/>
        <v>0</v>
      </c>
      <c r="AB37" s="31">
        <f t="shared" si="33"/>
        <v>0</v>
      </c>
      <c r="AC37" s="31">
        <f t="shared" si="33"/>
        <v>0</v>
      </c>
      <c r="AD37" s="31">
        <f t="shared" si="33"/>
        <v>0</v>
      </c>
      <c r="AE37" s="31">
        <f t="shared" si="33"/>
        <v>0</v>
      </c>
      <c r="AF37" s="31">
        <f t="shared" si="33"/>
        <v>0</v>
      </c>
      <c r="AG37" s="31">
        <f t="shared" si="33"/>
        <v>0</v>
      </c>
      <c r="AH37" s="31">
        <f t="shared" si="33"/>
        <v>0</v>
      </c>
      <c r="AI37" s="31">
        <f t="shared" si="33"/>
        <v>0</v>
      </c>
      <c r="AJ37" s="31">
        <f t="shared" si="33"/>
        <v>0</v>
      </c>
      <c r="AK37" s="31">
        <f t="shared" si="33"/>
        <v>0</v>
      </c>
      <c r="AL37" s="31">
        <f t="shared" si="33"/>
        <v>0</v>
      </c>
      <c r="AM37" s="31">
        <f t="shared" si="33"/>
        <v>0</v>
      </c>
      <c r="AN37" s="31">
        <f t="shared" si="33"/>
        <v>0</v>
      </c>
      <c r="AO37" s="31">
        <f t="shared" si="33"/>
        <v>0</v>
      </c>
      <c r="AP37" s="31">
        <f t="shared" si="33"/>
        <v>0</v>
      </c>
      <c r="AQ37" s="31">
        <f t="shared" si="33"/>
        <v>0</v>
      </c>
      <c r="AR37" s="31">
        <f t="shared" si="33"/>
        <v>0</v>
      </c>
      <c r="AS37" s="31">
        <f t="shared" si="33"/>
        <v>0</v>
      </c>
      <c r="AT37" s="31">
        <f t="shared" si="33"/>
        <v>0</v>
      </c>
      <c r="AU37" s="31">
        <f t="shared" si="33"/>
        <v>0</v>
      </c>
      <c r="AV37" s="31">
        <f t="shared" si="33"/>
        <v>0</v>
      </c>
      <c r="AW37" s="31">
        <f t="shared" si="33"/>
        <v>0</v>
      </c>
      <c r="AX37" s="31">
        <f t="shared" si="33"/>
        <v>0</v>
      </c>
      <c r="AY37" s="31">
        <f t="shared" si="33"/>
        <v>0</v>
      </c>
      <c r="AZ37" s="31">
        <f t="shared" si="33"/>
        <v>0</v>
      </c>
    </row>
    <row r="38" spans="2:52" x14ac:dyDescent="0.25">
      <c r="B38" s="24"/>
      <c r="C38" s="25" t="s">
        <v>11</v>
      </c>
      <c r="D38" s="25" t="s">
        <v>66</v>
      </c>
      <c r="E38" s="294">
        <f>'Green+Social Interface'!$D$22*'Green+Social Interface'!$E$22</f>
        <v>0</v>
      </c>
      <c r="F38" s="344">
        <f>$D$82</f>
        <v>1.2322330891931508</v>
      </c>
      <c r="G38" t="s">
        <v>942</v>
      </c>
      <c r="H38" s="21">
        <f>'Green+Social Interface'!$O$6</f>
        <v>7.0000000000000007E-2</v>
      </c>
      <c r="I38" s="22"/>
      <c r="J38" s="168">
        <f t="shared" si="25"/>
        <v>0</v>
      </c>
      <c r="K38" s="297">
        <f t="shared" si="29"/>
        <v>0</v>
      </c>
      <c r="L38" s="298">
        <f t="shared" si="30"/>
        <v>0</v>
      </c>
      <c r="M38" s="31">
        <f t="shared" si="31"/>
        <v>0</v>
      </c>
      <c r="N38" s="31">
        <f t="shared" si="32"/>
        <v>0</v>
      </c>
      <c r="O38" s="31">
        <f t="shared" si="33"/>
        <v>0</v>
      </c>
      <c r="P38" s="31">
        <f t="shared" si="33"/>
        <v>0</v>
      </c>
      <c r="Q38" s="31">
        <f t="shared" si="33"/>
        <v>0</v>
      </c>
      <c r="R38" s="31">
        <f t="shared" si="33"/>
        <v>0</v>
      </c>
      <c r="S38" s="31">
        <f t="shared" si="33"/>
        <v>0</v>
      </c>
      <c r="T38" s="31">
        <f t="shared" si="33"/>
        <v>0</v>
      </c>
      <c r="U38" s="31">
        <f t="shared" si="33"/>
        <v>0</v>
      </c>
      <c r="V38" s="31">
        <f t="shared" si="33"/>
        <v>0</v>
      </c>
      <c r="W38" s="31">
        <f t="shared" si="33"/>
        <v>0</v>
      </c>
      <c r="X38" s="31">
        <f t="shared" si="33"/>
        <v>0</v>
      </c>
      <c r="Y38" s="31">
        <f t="shared" si="33"/>
        <v>0</v>
      </c>
      <c r="Z38" s="31">
        <f t="shared" si="33"/>
        <v>0</v>
      </c>
      <c r="AA38" s="31">
        <f t="shared" si="33"/>
        <v>0</v>
      </c>
      <c r="AB38" s="31">
        <f t="shared" si="33"/>
        <v>0</v>
      </c>
      <c r="AC38" s="31">
        <f t="shared" si="33"/>
        <v>0</v>
      </c>
      <c r="AD38" s="31">
        <f t="shared" si="33"/>
        <v>0</v>
      </c>
      <c r="AE38" s="31">
        <f t="shared" si="33"/>
        <v>0</v>
      </c>
      <c r="AF38" s="31">
        <f t="shared" si="33"/>
        <v>0</v>
      </c>
      <c r="AG38" s="31">
        <f t="shared" si="33"/>
        <v>0</v>
      </c>
      <c r="AH38" s="31">
        <f t="shared" si="33"/>
        <v>0</v>
      </c>
      <c r="AI38" s="31">
        <f t="shared" si="33"/>
        <v>0</v>
      </c>
      <c r="AJ38" s="31">
        <f t="shared" si="33"/>
        <v>0</v>
      </c>
      <c r="AK38" s="31">
        <f t="shared" si="33"/>
        <v>0</v>
      </c>
      <c r="AL38" s="31">
        <f t="shared" si="33"/>
        <v>0</v>
      </c>
      <c r="AM38" s="31">
        <f t="shared" si="33"/>
        <v>0</v>
      </c>
      <c r="AN38" s="31">
        <f t="shared" si="33"/>
        <v>0</v>
      </c>
      <c r="AO38" s="31">
        <f t="shared" si="33"/>
        <v>0</v>
      </c>
      <c r="AP38" s="31">
        <f t="shared" si="33"/>
        <v>0</v>
      </c>
      <c r="AQ38" s="31">
        <f t="shared" si="33"/>
        <v>0</v>
      </c>
      <c r="AR38" s="31">
        <f t="shared" si="33"/>
        <v>0</v>
      </c>
      <c r="AS38" s="31">
        <f t="shared" si="33"/>
        <v>0</v>
      </c>
      <c r="AT38" s="31">
        <f t="shared" si="33"/>
        <v>0</v>
      </c>
      <c r="AU38" s="31">
        <f t="shared" si="33"/>
        <v>0</v>
      </c>
      <c r="AV38" s="31">
        <f t="shared" si="33"/>
        <v>0</v>
      </c>
      <c r="AW38" s="31">
        <f t="shared" si="33"/>
        <v>0</v>
      </c>
      <c r="AX38" s="31">
        <f t="shared" si="33"/>
        <v>0</v>
      </c>
      <c r="AY38" s="31">
        <f t="shared" si="33"/>
        <v>0</v>
      </c>
      <c r="AZ38" s="31">
        <f t="shared" si="33"/>
        <v>0</v>
      </c>
    </row>
    <row r="39" spans="2:52" x14ac:dyDescent="0.25">
      <c r="B39" s="24" t="s">
        <v>5</v>
      </c>
      <c r="C39" s="29" t="s">
        <v>10</v>
      </c>
      <c r="D39" s="25" t="s">
        <v>66</v>
      </c>
      <c r="E39" s="294">
        <f>'Green+Social Interface'!$T$18*'Green+Social Interface'!$U$18</f>
        <v>0</v>
      </c>
      <c r="F39" s="344">
        <f>$D$97</f>
        <v>1.2322330891931508</v>
      </c>
      <c r="G39" t="s">
        <v>942</v>
      </c>
      <c r="H39" s="21">
        <f>'Green+Social Interface'!$O$6</f>
        <v>7.0000000000000007E-2</v>
      </c>
      <c r="I39" s="22"/>
      <c r="J39" s="168">
        <f t="shared" si="25"/>
        <v>0</v>
      </c>
      <c r="K39" s="297">
        <f t="shared" si="29"/>
        <v>0</v>
      </c>
      <c r="L39" s="298">
        <f t="shared" si="30"/>
        <v>0</v>
      </c>
      <c r="M39" s="31">
        <f t="shared" si="31"/>
        <v>0</v>
      </c>
      <c r="N39" s="31">
        <f t="shared" si="32"/>
        <v>0</v>
      </c>
      <c r="O39" s="31">
        <f t="shared" si="33"/>
        <v>0</v>
      </c>
      <c r="P39" s="31">
        <f t="shared" si="33"/>
        <v>0</v>
      </c>
      <c r="Q39" s="31">
        <f t="shared" si="33"/>
        <v>0</v>
      </c>
      <c r="R39" s="31">
        <f t="shared" si="33"/>
        <v>0</v>
      </c>
      <c r="S39" s="31">
        <f t="shared" si="33"/>
        <v>0</v>
      </c>
      <c r="T39" s="31">
        <f t="shared" si="33"/>
        <v>0</v>
      </c>
      <c r="U39" s="31">
        <f t="shared" si="33"/>
        <v>0</v>
      </c>
      <c r="V39" s="31">
        <f t="shared" si="33"/>
        <v>0</v>
      </c>
      <c r="W39" s="31">
        <f t="shared" si="33"/>
        <v>0</v>
      </c>
      <c r="X39" s="31">
        <f t="shared" si="33"/>
        <v>0</v>
      </c>
      <c r="Y39" s="31">
        <f t="shared" si="33"/>
        <v>0</v>
      </c>
      <c r="Z39" s="31">
        <f t="shared" si="33"/>
        <v>0</v>
      </c>
      <c r="AA39" s="31">
        <f t="shared" si="33"/>
        <v>0</v>
      </c>
      <c r="AB39" s="31">
        <f t="shared" si="33"/>
        <v>0</v>
      </c>
      <c r="AC39" s="31">
        <f t="shared" si="33"/>
        <v>0</v>
      </c>
      <c r="AD39" s="31">
        <f t="shared" si="33"/>
        <v>0</v>
      </c>
      <c r="AE39" s="31">
        <f t="shared" si="33"/>
        <v>0</v>
      </c>
      <c r="AF39" s="31">
        <f t="shared" si="33"/>
        <v>0</v>
      </c>
      <c r="AG39" s="31">
        <f t="shared" si="33"/>
        <v>0</v>
      </c>
      <c r="AH39" s="31">
        <f t="shared" si="33"/>
        <v>0</v>
      </c>
      <c r="AI39" s="31">
        <f t="shared" si="33"/>
        <v>0</v>
      </c>
      <c r="AJ39" s="31">
        <f t="shared" si="33"/>
        <v>0</v>
      </c>
      <c r="AK39" s="31">
        <f t="shared" si="33"/>
        <v>0</v>
      </c>
      <c r="AL39" s="31">
        <f t="shared" si="33"/>
        <v>0</v>
      </c>
      <c r="AM39" s="31">
        <f t="shared" si="33"/>
        <v>0</v>
      </c>
      <c r="AN39" s="31">
        <f t="shared" si="33"/>
        <v>0</v>
      </c>
      <c r="AO39" s="31">
        <f t="shared" si="33"/>
        <v>0</v>
      </c>
      <c r="AP39" s="31">
        <f t="shared" si="33"/>
        <v>0</v>
      </c>
      <c r="AQ39" s="31">
        <f t="shared" si="33"/>
        <v>0</v>
      </c>
      <c r="AR39" s="31">
        <f t="shared" si="33"/>
        <v>0</v>
      </c>
      <c r="AS39" s="31">
        <f t="shared" si="33"/>
        <v>0</v>
      </c>
      <c r="AT39" s="31">
        <f t="shared" si="33"/>
        <v>0</v>
      </c>
      <c r="AU39" s="31">
        <f t="shared" si="33"/>
        <v>0</v>
      </c>
      <c r="AV39" s="31">
        <f t="shared" si="33"/>
        <v>0</v>
      </c>
      <c r="AW39" s="31">
        <f t="shared" si="33"/>
        <v>0</v>
      </c>
      <c r="AX39" s="31">
        <f t="shared" si="33"/>
        <v>0</v>
      </c>
      <c r="AY39" s="31">
        <f t="shared" si="33"/>
        <v>0</v>
      </c>
      <c r="AZ39" s="31">
        <f t="shared" si="33"/>
        <v>0</v>
      </c>
    </row>
    <row r="40" spans="2:52" x14ac:dyDescent="0.25">
      <c r="B40" s="24"/>
      <c r="C40" s="25" t="s">
        <v>6</v>
      </c>
      <c r="D40" s="25" t="s">
        <v>66</v>
      </c>
      <c r="E40" s="294">
        <f>'Green+Social Interface'!$T$19*'Green+Social Interface'!$U$19</f>
        <v>0</v>
      </c>
      <c r="F40" s="344">
        <f>$D$97</f>
        <v>1.2322330891931508</v>
      </c>
      <c r="G40" t="s">
        <v>942</v>
      </c>
      <c r="H40" s="21">
        <f>'Green+Social Interface'!$O$6</f>
        <v>7.0000000000000007E-2</v>
      </c>
      <c r="I40" s="22"/>
      <c r="J40" s="168">
        <f t="shared" si="25"/>
        <v>0</v>
      </c>
      <c r="K40" s="297">
        <f t="shared" si="29"/>
        <v>0</v>
      </c>
      <c r="L40" s="298">
        <f t="shared" si="30"/>
        <v>0</v>
      </c>
      <c r="M40" s="31">
        <f t="shared" si="31"/>
        <v>0</v>
      </c>
      <c r="N40" s="31">
        <f t="shared" si="32"/>
        <v>0</v>
      </c>
      <c r="O40" s="31">
        <f t="shared" si="33"/>
        <v>0</v>
      </c>
      <c r="P40" s="31">
        <f t="shared" si="33"/>
        <v>0</v>
      </c>
      <c r="Q40" s="31">
        <f t="shared" si="33"/>
        <v>0</v>
      </c>
      <c r="R40" s="31">
        <f t="shared" si="33"/>
        <v>0</v>
      </c>
      <c r="S40" s="31">
        <f t="shared" si="33"/>
        <v>0</v>
      </c>
      <c r="T40" s="31">
        <f t="shared" si="33"/>
        <v>0</v>
      </c>
      <c r="U40" s="31">
        <f t="shared" si="33"/>
        <v>0</v>
      </c>
      <c r="V40" s="31">
        <f t="shared" si="33"/>
        <v>0</v>
      </c>
      <c r="W40" s="31">
        <f t="shared" si="33"/>
        <v>0</v>
      </c>
      <c r="X40" s="31">
        <f t="shared" si="33"/>
        <v>0</v>
      </c>
      <c r="Y40" s="31">
        <f t="shared" si="33"/>
        <v>0</v>
      </c>
      <c r="Z40" s="31">
        <f t="shared" si="33"/>
        <v>0</v>
      </c>
      <c r="AA40" s="31">
        <f t="shared" si="33"/>
        <v>0</v>
      </c>
      <c r="AB40" s="31">
        <f t="shared" si="33"/>
        <v>0</v>
      </c>
      <c r="AC40" s="31">
        <f t="shared" si="33"/>
        <v>0</v>
      </c>
      <c r="AD40" s="31">
        <f t="shared" si="33"/>
        <v>0</v>
      </c>
      <c r="AE40" s="31">
        <f t="shared" si="33"/>
        <v>0</v>
      </c>
      <c r="AF40" s="31">
        <f t="shared" si="33"/>
        <v>0</v>
      </c>
      <c r="AG40" s="31">
        <f t="shared" si="33"/>
        <v>0</v>
      </c>
      <c r="AH40" s="31">
        <f t="shared" si="33"/>
        <v>0</v>
      </c>
      <c r="AI40" s="31">
        <f t="shared" si="33"/>
        <v>0</v>
      </c>
      <c r="AJ40" s="31">
        <f t="shared" si="33"/>
        <v>0</v>
      </c>
      <c r="AK40" s="31">
        <f t="shared" si="33"/>
        <v>0</v>
      </c>
      <c r="AL40" s="31">
        <f t="shared" si="33"/>
        <v>0</v>
      </c>
      <c r="AM40" s="31">
        <f t="shared" si="33"/>
        <v>0</v>
      </c>
      <c r="AN40" s="31">
        <f t="shared" si="33"/>
        <v>0</v>
      </c>
      <c r="AO40" s="31">
        <f t="shared" si="33"/>
        <v>0</v>
      </c>
      <c r="AP40" s="31">
        <f t="shared" si="33"/>
        <v>0</v>
      </c>
      <c r="AQ40" s="31">
        <f t="shared" si="33"/>
        <v>0</v>
      </c>
      <c r="AR40" s="31">
        <f t="shared" si="33"/>
        <v>0</v>
      </c>
      <c r="AS40" s="31">
        <f t="shared" si="33"/>
        <v>0</v>
      </c>
      <c r="AT40" s="31">
        <f t="shared" si="33"/>
        <v>0</v>
      </c>
      <c r="AU40" s="31">
        <f t="shared" si="33"/>
        <v>0</v>
      </c>
      <c r="AV40" s="31">
        <f t="shared" si="33"/>
        <v>0</v>
      </c>
      <c r="AW40" s="31">
        <f t="shared" si="33"/>
        <v>0</v>
      </c>
      <c r="AX40" s="31">
        <f t="shared" si="33"/>
        <v>0</v>
      </c>
      <c r="AY40" s="31">
        <f t="shared" si="33"/>
        <v>0</v>
      </c>
      <c r="AZ40" s="31">
        <f t="shared" si="33"/>
        <v>0</v>
      </c>
    </row>
    <row r="41" spans="2:52" x14ac:dyDescent="0.25">
      <c r="B41" s="24"/>
      <c r="C41" s="25" t="s">
        <v>7</v>
      </c>
      <c r="D41" s="25" t="s">
        <v>66</v>
      </c>
      <c r="E41" s="294">
        <f>'Green+Social Interface'!$T$20*'Green+Social Interface'!$U$20</f>
        <v>0</v>
      </c>
      <c r="F41" s="344">
        <f>$D$97</f>
        <v>1.2322330891931508</v>
      </c>
      <c r="G41" t="s">
        <v>942</v>
      </c>
      <c r="H41" s="21">
        <f>'Green+Social Interface'!$O$6</f>
        <v>7.0000000000000007E-2</v>
      </c>
      <c r="I41" s="22"/>
      <c r="J41" s="168">
        <f t="shared" si="25"/>
        <v>0</v>
      </c>
      <c r="K41" s="297">
        <f t="shared" si="29"/>
        <v>0</v>
      </c>
      <c r="L41" s="298">
        <f t="shared" si="30"/>
        <v>0</v>
      </c>
      <c r="M41" s="31">
        <f t="shared" si="31"/>
        <v>0</v>
      </c>
      <c r="N41" s="31">
        <f t="shared" si="32"/>
        <v>0</v>
      </c>
      <c r="O41" s="31">
        <f t="shared" si="33"/>
        <v>0</v>
      </c>
      <c r="P41" s="31">
        <f t="shared" si="33"/>
        <v>0</v>
      </c>
      <c r="Q41" s="31">
        <f t="shared" si="33"/>
        <v>0</v>
      </c>
      <c r="R41" s="31">
        <f t="shared" si="33"/>
        <v>0</v>
      </c>
      <c r="S41" s="31">
        <f t="shared" si="33"/>
        <v>0</v>
      </c>
      <c r="T41" s="31">
        <f t="shared" si="33"/>
        <v>0</v>
      </c>
      <c r="U41" s="31">
        <f t="shared" si="33"/>
        <v>0</v>
      </c>
      <c r="V41" s="31">
        <f t="shared" si="33"/>
        <v>0</v>
      </c>
      <c r="W41" s="31">
        <f t="shared" si="33"/>
        <v>0</v>
      </c>
      <c r="X41" s="31">
        <f t="shared" si="33"/>
        <v>0</v>
      </c>
      <c r="Y41" s="31">
        <f t="shared" si="33"/>
        <v>0</v>
      </c>
      <c r="Z41" s="31">
        <f t="shared" si="33"/>
        <v>0</v>
      </c>
      <c r="AA41" s="31">
        <f t="shared" si="33"/>
        <v>0</v>
      </c>
      <c r="AB41" s="31">
        <f t="shared" si="33"/>
        <v>0</v>
      </c>
      <c r="AC41" s="31">
        <f t="shared" si="33"/>
        <v>0</v>
      </c>
      <c r="AD41" s="31">
        <f t="shared" si="33"/>
        <v>0</v>
      </c>
      <c r="AE41" s="31">
        <f t="shared" si="33"/>
        <v>0</v>
      </c>
      <c r="AF41" s="31">
        <f t="shared" si="33"/>
        <v>0</v>
      </c>
      <c r="AG41" s="31">
        <f t="shared" si="33"/>
        <v>0</v>
      </c>
      <c r="AH41" s="31">
        <f t="shared" si="33"/>
        <v>0</v>
      </c>
      <c r="AI41" s="31">
        <f t="shared" si="33"/>
        <v>0</v>
      </c>
      <c r="AJ41" s="31">
        <f t="shared" si="33"/>
        <v>0</v>
      </c>
      <c r="AK41" s="31">
        <f t="shared" si="33"/>
        <v>0</v>
      </c>
      <c r="AL41" s="31">
        <f t="shared" si="33"/>
        <v>0</v>
      </c>
      <c r="AM41" s="31">
        <f t="shared" si="33"/>
        <v>0</v>
      </c>
      <c r="AN41" s="31">
        <f t="shared" si="33"/>
        <v>0</v>
      </c>
      <c r="AO41" s="31">
        <f t="shared" si="33"/>
        <v>0</v>
      </c>
      <c r="AP41" s="31">
        <f t="shared" si="33"/>
        <v>0</v>
      </c>
      <c r="AQ41" s="31">
        <f t="shared" si="33"/>
        <v>0</v>
      </c>
      <c r="AR41" s="31">
        <f t="shared" si="33"/>
        <v>0</v>
      </c>
      <c r="AS41" s="31">
        <f t="shared" si="33"/>
        <v>0</v>
      </c>
      <c r="AT41" s="31">
        <f t="shared" si="33"/>
        <v>0</v>
      </c>
      <c r="AU41" s="31">
        <f t="shared" si="33"/>
        <v>0</v>
      </c>
      <c r="AV41" s="31">
        <f t="shared" si="33"/>
        <v>0</v>
      </c>
      <c r="AW41" s="31">
        <f t="shared" si="33"/>
        <v>0</v>
      </c>
      <c r="AX41" s="31">
        <f t="shared" si="33"/>
        <v>0</v>
      </c>
      <c r="AY41" s="31">
        <f t="shared" si="33"/>
        <v>0</v>
      </c>
      <c r="AZ41" s="31">
        <f t="shared" si="33"/>
        <v>0</v>
      </c>
    </row>
    <row r="42" spans="2:52" x14ac:dyDescent="0.25">
      <c r="B42" s="24"/>
      <c r="C42" s="25" t="s">
        <v>8</v>
      </c>
      <c r="D42" s="25" t="s">
        <v>66</v>
      </c>
      <c r="E42" s="294">
        <f>'Green+Social Interface'!$T$21*'Green+Social Interface'!$U$21</f>
        <v>0</v>
      </c>
      <c r="F42" s="344">
        <f>$D$97</f>
        <v>1.2322330891931508</v>
      </c>
      <c r="G42" t="s">
        <v>942</v>
      </c>
      <c r="H42" s="21">
        <f>'Green+Social Interface'!$O$6</f>
        <v>7.0000000000000007E-2</v>
      </c>
      <c r="I42" s="22"/>
      <c r="J42" s="168">
        <f t="shared" si="25"/>
        <v>0</v>
      </c>
      <c r="K42" s="297">
        <f t="shared" si="29"/>
        <v>0</v>
      </c>
      <c r="L42" s="298">
        <f t="shared" si="30"/>
        <v>0</v>
      </c>
      <c r="M42" s="31">
        <f t="shared" si="31"/>
        <v>0</v>
      </c>
      <c r="N42" s="31">
        <f t="shared" si="32"/>
        <v>0</v>
      </c>
      <c r="O42" s="31">
        <f t="shared" si="33"/>
        <v>0</v>
      </c>
      <c r="P42" s="31">
        <f t="shared" si="33"/>
        <v>0</v>
      </c>
      <c r="Q42" s="31">
        <f t="shared" si="33"/>
        <v>0</v>
      </c>
      <c r="R42" s="31">
        <f t="shared" si="33"/>
        <v>0</v>
      </c>
      <c r="S42" s="31">
        <f t="shared" si="33"/>
        <v>0</v>
      </c>
      <c r="T42" s="31">
        <f t="shared" si="33"/>
        <v>0</v>
      </c>
      <c r="U42" s="31">
        <f t="shared" si="33"/>
        <v>0</v>
      </c>
      <c r="V42" s="31">
        <f t="shared" si="33"/>
        <v>0</v>
      </c>
      <c r="W42" s="31">
        <f t="shared" si="33"/>
        <v>0</v>
      </c>
      <c r="X42" s="31">
        <f t="shared" si="33"/>
        <v>0</v>
      </c>
      <c r="Y42" s="31">
        <f t="shared" si="33"/>
        <v>0</v>
      </c>
      <c r="Z42" s="31">
        <f t="shared" si="33"/>
        <v>0</v>
      </c>
      <c r="AA42" s="31">
        <f t="shared" si="33"/>
        <v>0</v>
      </c>
      <c r="AB42" s="31">
        <f t="shared" si="33"/>
        <v>0</v>
      </c>
      <c r="AC42" s="31">
        <f t="shared" si="33"/>
        <v>0</v>
      </c>
      <c r="AD42" s="31">
        <f t="shared" si="33"/>
        <v>0</v>
      </c>
      <c r="AE42" s="31">
        <f t="shared" si="33"/>
        <v>0</v>
      </c>
      <c r="AF42" s="31">
        <f t="shared" si="33"/>
        <v>0</v>
      </c>
      <c r="AG42" s="31">
        <f t="shared" si="33"/>
        <v>0</v>
      </c>
      <c r="AH42" s="31">
        <f t="shared" si="33"/>
        <v>0</v>
      </c>
      <c r="AI42" s="31">
        <f t="shared" si="33"/>
        <v>0</v>
      </c>
      <c r="AJ42" s="31">
        <f t="shared" si="33"/>
        <v>0</v>
      </c>
      <c r="AK42" s="31">
        <f t="shared" si="33"/>
        <v>0</v>
      </c>
      <c r="AL42" s="31">
        <f t="shared" si="33"/>
        <v>0</v>
      </c>
      <c r="AM42" s="31">
        <f t="shared" si="33"/>
        <v>0</v>
      </c>
      <c r="AN42" s="31">
        <f t="shared" si="33"/>
        <v>0</v>
      </c>
      <c r="AO42" s="31">
        <f t="shared" si="33"/>
        <v>0</v>
      </c>
      <c r="AP42" s="31">
        <f t="shared" si="33"/>
        <v>0</v>
      </c>
      <c r="AQ42" s="31">
        <f t="shared" si="33"/>
        <v>0</v>
      </c>
      <c r="AR42" s="31">
        <f t="shared" si="33"/>
        <v>0</v>
      </c>
      <c r="AS42" s="31">
        <f t="shared" si="33"/>
        <v>0</v>
      </c>
      <c r="AT42" s="31">
        <f t="shared" ref="O42:AZ48" si="34">AS42</f>
        <v>0</v>
      </c>
      <c r="AU42" s="31">
        <f t="shared" si="34"/>
        <v>0</v>
      </c>
      <c r="AV42" s="31">
        <f t="shared" si="34"/>
        <v>0</v>
      </c>
      <c r="AW42" s="31">
        <f t="shared" si="34"/>
        <v>0</v>
      </c>
      <c r="AX42" s="31">
        <f t="shared" si="34"/>
        <v>0</v>
      </c>
      <c r="AY42" s="31">
        <f t="shared" si="34"/>
        <v>0</v>
      </c>
      <c r="AZ42" s="31">
        <f t="shared" si="34"/>
        <v>0</v>
      </c>
    </row>
    <row r="43" spans="2:52" x14ac:dyDescent="0.25">
      <c r="B43" s="24"/>
      <c r="C43" s="25" t="s">
        <v>9</v>
      </c>
      <c r="D43" s="25" t="s">
        <v>66</v>
      </c>
      <c r="E43" s="294">
        <f>'Green+Social Interface'!$T$22*'Green+Social Interface'!$U$22</f>
        <v>0</v>
      </c>
      <c r="F43" s="344">
        <f>$D$97</f>
        <v>1.2322330891931508</v>
      </c>
      <c r="G43" t="s">
        <v>942</v>
      </c>
      <c r="H43" s="21">
        <f>'Green+Social Interface'!$O$6</f>
        <v>7.0000000000000007E-2</v>
      </c>
      <c r="I43" s="22"/>
      <c r="J43" s="168">
        <f t="shared" si="25"/>
        <v>0</v>
      </c>
      <c r="K43" s="297">
        <f t="shared" si="29"/>
        <v>0</v>
      </c>
      <c r="L43" s="298">
        <f t="shared" si="30"/>
        <v>0</v>
      </c>
      <c r="M43" s="31">
        <f t="shared" si="31"/>
        <v>0</v>
      </c>
      <c r="N43" s="31">
        <f t="shared" si="32"/>
        <v>0</v>
      </c>
      <c r="O43" s="31">
        <f t="shared" si="34"/>
        <v>0</v>
      </c>
      <c r="P43" s="31">
        <f t="shared" si="34"/>
        <v>0</v>
      </c>
      <c r="Q43" s="31">
        <f t="shared" si="34"/>
        <v>0</v>
      </c>
      <c r="R43" s="31">
        <f t="shared" si="34"/>
        <v>0</v>
      </c>
      <c r="S43" s="31">
        <f t="shared" si="34"/>
        <v>0</v>
      </c>
      <c r="T43" s="31">
        <f t="shared" si="34"/>
        <v>0</v>
      </c>
      <c r="U43" s="31">
        <f t="shared" si="34"/>
        <v>0</v>
      </c>
      <c r="V43" s="31">
        <f t="shared" si="34"/>
        <v>0</v>
      </c>
      <c r="W43" s="31">
        <f t="shared" si="34"/>
        <v>0</v>
      </c>
      <c r="X43" s="31">
        <f t="shared" si="34"/>
        <v>0</v>
      </c>
      <c r="Y43" s="31">
        <f t="shared" si="34"/>
        <v>0</v>
      </c>
      <c r="Z43" s="31">
        <f t="shared" si="34"/>
        <v>0</v>
      </c>
      <c r="AA43" s="31">
        <f t="shared" si="34"/>
        <v>0</v>
      </c>
      <c r="AB43" s="31">
        <f t="shared" si="34"/>
        <v>0</v>
      </c>
      <c r="AC43" s="31">
        <f t="shared" si="34"/>
        <v>0</v>
      </c>
      <c r="AD43" s="31">
        <f t="shared" si="34"/>
        <v>0</v>
      </c>
      <c r="AE43" s="31">
        <f t="shared" si="34"/>
        <v>0</v>
      </c>
      <c r="AF43" s="31">
        <f t="shared" si="34"/>
        <v>0</v>
      </c>
      <c r="AG43" s="31">
        <f t="shared" si="34"/>
        <v>0</v>
      </c>
      <c r="AH43" s="31">
        <f t="shared" si="34"/>
        <v>0</v>
      </c>
      <c r="AI43" s="31">
        <f t="shared" si="34"/>
        <v>0</v>
      </c>
      <c r="AJ43" s="31">
        <f t="shared" si="34"/>
        <v>0</v>
      </c>
      <c r="AK43" s="31">
        <f t="shared" si="34"/>
        <v>0</v>
      </c>
      <c r="AL43" s="31">
        <f t="shared" si="34"/>
        <v>0</v>
      </c>
      <c r="AM43" s="31">
        <f t="shared" si="34"/>
        <v>0</v>
      </c>
      <c r="AN43" s="31">
        <f t="shared" si="34"/>
        <v>0</v>
      </c>
      <c r="AO43" s="31">
        <f t="shared" si="34"/>
        <v>0</v>
      </c>
      <c r="AP43" s="31">
        <f t="shared" si="34"/>
        <v>0</v>
      </c>
      <c r="AQ43" s="31">
        <f t="shared" si="34"/>
        <v>0</v>
      </c>
      <c r="AR43" s="31">
        <f t="shared" si="34"/>
        <v>0</v>
      </c>
      <c r="AS43" s="31">
        <f t="shared" si="34"/>
        <v>0</v>
      </c>
      <c r="AT43" s="31">
        <f t="shared" si="34"/>
        <v>0</v>
      </c>
      <c r="AU43" s="31">
        <f t="shared" si="34"/>
        <v>0</v>
      </c>
      <c r="AV43" s="31">
        <f t="shared" si="34"/>
        <v>0</v>
      </c>
      <c r="AW43" s="31">
        <f t="shared" si="34"/>
        <v>0</v>
      </c>
      <c r="AX43" s="31">
        <f t="shared" si="34"/>
        <v>0</v>
      </c>
      <c r="AY43" s="31">
        <f t="shared" si="34"/>
        <v>0</v>
      </c>
      <c r="AZ43" s="31">
        <f t="shared" si="34"/>
        <v>0</v>
      </c>
    </row>
    <row r="44" spans="2:52" x14ac:dyDescent="0.25">
      <c r="B44" s="24" t="s">
        <v>135</v>
      </c>
      <c r="C44" s="25" t="s">
        <v>6</v>
      </c>
      <c r="D44" s="25" t="s">
        <v>66</v>
      </c>
      <c r="E44" s="294">
        <f>'Green+Social Interface'!$O$18*'Green+Social Interface'!$P$18</f>
        <v>0</v>
      </c>
      <c r="F44" s="344">
        <f>$D$92</f>
        <v>1.2322330891931508</v>
      </c>
      <c r="G44" t="s">
        <v>942</v>
      </c>
      <c r="H44" s="21">
        <f>'Green+Social Interface'!$O$6</f>
        <v>7.0000000000000007E-2</v>
      </c>
      <c r="I44" s="22"/>
      <c r="J44" s="168">
        <f t="shared" si="25"/>
        <v>0</v>
      </c>
      <c r="K44" s="297">
        <f t="shared" si="29"/>
        <v>0</v>
      </c>
      <c r="L44" s="298">
        <f t="shared" si="30"/>
        <v>0</v>
      </c>
      <c r="M44" s="31">
        <f t="shared" si="31"/>
        <v>0</v>
      </c>
      <c r="N44" s="31">
        <f t="shared" si="32"/>
        <v>0</v>
      </c>
      <c r="O44" s="31">
        <f t="shared" si="34"/>
        <v>0</v>
      </c>
      <c r="P44" s="31">
        <f t="shared" si="34"/>
        <v>0</v>
      </c>
      <c r="Q44" s="31">
        <f t="shared" si="34"/>
        <v>0</v>
      </c>
      <c r="R44" s="31">
        <f t="shared" si="34"/>
        <v>0</v>
      </c>
      <c r="S44" s="31">
        <f t="shared" si="34"/>
        <v>0</v>
      </c>
      <c r="T44" s="31">
        <f t="shared" si="34"/>
        <v>0</v>
      </c>
      <c r="U44" s="31">
        <f t="shared" si="34"/>
        <v>0</v>
      </c>
      <c r="V44" s="31">
        <f t="shared" si="34"/>
        <v>0</v>
      </c>
      <c r="W44" s="31">
        <f t="shared" si="34"/>
        <v>0</v>
      </c>
      <c r="X44" s="31">
        <f t="shared" si="34"/>
        <v>0</v>
      </c>
      <c r="Y44" s="31">
        <f t="shared" si="34"/>
        <v>0</v>
      </c>
      <c r="Z44" s="31">
        <f t="shared" si="34"/>
        <v>0</v>
      </c>
      <c r="AA44" s="31">
        <f t="shared" si="34"/>
        <v>0</v>
      </c>
      <c r="AB44" s="31">
        <f t="shared" si="34"/>
        <v>0</v>
      </c>
      <c r="AC44" s="31">
        <f t="shared" si="34"/>
        <v>0</v>
      </c>
      <c r="AD44" s="31">
        <f t="shared" si="34"/>
        <v>0</v>
      </c>
      <c r="AE44" s="31">
        <f t="shared" si="34"/>
        <v>0</v>
      </c>
      <c r="AF44" s="31">
        <f t="shared" si="34"/>
        <v>0</v>
      </c>
      <c r="AG44" s="31">
        <f t="shared" si="34"/>
        <v>0</v>
      </c>
      <c r="AH44" s="31">
        <f t="shared" si="34"/>
        <v>0</v>
      </c>
      <c r="AI44" s="31">
        <f t="shared" si="34"/>
        <v>0</v>
      </c>
      <c r="AJ44" s="31">
        <f t="shared" si="34"/>
        <v>0</v>
      </c>
      <c r="AK44" s="31">
        <f t="shared" si="34"/>
        <v>0</v>
      </c>
      <c r="AL44" s="31">
        <f t="shared" si="34"/>
        <v>0</v>
      </c>
      <c r="AM44" s="31">
        <f t="shared" si="34"/>
        <v>0</v>
      </c>
      <c r="AN44" s="31">
        <f t="shared" si="34"/>
        <v>0</v>
      </c>
      <c r="AO44" s="31">
        <f t="shared" si="34"/>
        <v>0</v>
      </c>
      <c r="AP44" s="31">
        <f t="shared" si="34"/>
        <v>0</v>
      </c>
      <c r="AQ44" s="31">
        <f t="shared" si="34"/>
        <v>0</v>
      </c>
      <c r="AR44" s="31">
        <f t="shared" si="34"/>
        <v>0</v>
      </c>
      <c r="AS44" s="31">
        <f t="shared" si="34"/>
        <v>0</v>
      </c>
      <c r="AT44" s="31">
        <f t="shared" si="34"/>
        <v>0</v>
      </c>
      <c r="AU44" s="31">
        <f t="shared" si="34"/>
        <v>0</v>
      </c>
      <c r="AV44" s="31">
        <f t="shared" si="34"/>
        <v>0</v>
      </c>
      <c r="AW44" s="31">
        <f t="shared" si="34"/>
        <v>0</v>
      </c>
      <c r="AX44" s="31">
        <f t="shared" si="34"/>
        <v>0</v>
      </c>
      <c r="AY44" s="31">
        <f t="shared" si="34"/>
        <v>0</v>
      </c>
      <c r="AZ44" s="31">
        <f t="shared" si="34"/>
        <v>0</v>
      </c>
    </row>
    <row r="45" spans="2:52" x14ac:dyDescent="0.25">
      <c r="B45" s="24"/>
      <c r="C45" s="25" t="s">
        <v>7</v>
      </c>
      <c r="D45" s="25" t="s">
        <v>66</v>
      </c>
      <c r="E45" s="294">
        <f>'Green+Social Interface'!$O$19*'Green+Social Interface'!$P$19</f>
        <v>0</v>
      </c>
      <c r="F45" s="344">
        <f>$D$92</f>
        <v>1.2322330891931508</v>
      </c>
      <c r="G45" t="s">
        <v>942</v>
      </c>
      <c r="H45" s="21">
        <f>'Green+Social Interface'!$O$6</f>
        <v>7.0000000000000007E-2</v>
      </c>
      <c r="I45" s="22"/>
      <c r="J45" s="168">
        <f t="shared" si="25"/>
        <v>0</v>
      </c>
      <c r="K45" s="297">
        <f t="shared" si="29"/>
        <v>0</v>
      </c>
      <c r="L45" s="298">
        <f t="shared" si="30"/>
        <v>0</v>
      </c>
      <c r="M45" s="31">
        <f t="shared" si="31"/>
        <v>0</v>
      </c>
      <c r="N45" s="31">
        <f t="shared" si="32"/>
        <v>0</v>
      </c>
      <c r="O45" s="31">
        <f t="shared" si="34"/>
        <v>0</v>
      </c>
      <c r="P45" s="31">
        <f t="shared" si="34"/>
        <v>0</v>
      </c>
      <c r="Q45" s="31">
        <f t="shared" si="34"/>
        <v>0</v>
      </c>
      <c r="R45" s="31">
        <f t="shared" si="34"/>
        <v>0</v>
      </c>
      <c r="S45" s="31">
        <f t="shared" si="34"/>
        <v>0</v>
      </c>
      <c r="T45" s="31">
        <f t="shared" si="34"/>
        <v>0</v>
      </c>
      <c r="U45" s="31">
        <f t="shared" si="34"/>
        <v>0</v>
      </c>
      <c r="V45" s="31">
        <f t="shared" si="34"/>
        <v>0</v>
      </c>
      <c r="W45" s="31">
        <f t="shared" si="34"/>
        <v>0</v>
      </c>
      <c r="X45" s="31">
        <f t="shared" si="34"/>
        <v>0</v>
      </c>
      <c r="Y45" s="31">
        <f t="shared" si="34"/>
        <v>0</v>
      </c>
      <c r="Z45" s="31">
        <f t="shared" si="34"/>
        <v>0</v>
      </c>
      <c r="AA45" s="31">
        <f t="shared" si="34"/>
        <v>0</v>
      </c>
      <c r="AB45" s="31">
        <f t="shared" si="34"/>
        <v>0</v>
      </c>
      <c r="AC45" s="31">
        <f t="shared" si="34"/>
        <v>0</v>
      </c>
      <c r="AD45" s="31">
        <f t="shared" si="34"/>
        <v>0</v>
      </c>
      <c r="AE45" s="31">
        <f t="shared" si="34"/>
        <v>0</v>
      </c>
      <c r="AF45" s="31">
        <f t="shared" si="34"/>
        <v>0</v>
      </c>
      <c r="AG45" s="31">
        <f t="shared" si="34"/>
        <v>0</v>
      </c>
      <c r="AH45" s="31">
        <f t="shared" si="34"/>
        <v>0</v>
      </c>
      <c r="AI45" s="31">
        <f t="shared" si="34"/>
        <v>0</v>
      </c>
      <c r="AJ45" s="31">
        <f t="shared" si="34"/>
        <v>0</v>
      </c>
      <c r="AK45" s="31">
        <f t="shared" si="34"/>
        <v>0</v>
      </c>
      <c r="AL45" s="31">
        <f t="shared" si="34"/>
        <v>0</v>
      </c>
      <c r="AM45" s="31">
        <f t="shared" si="34"/>
        <v>0</v>
      </c>
      <c r="AN45" s="31">
        <f t="shared" si="34"/>
        <v>0</v>
      </c>
      <c r="AO45" s="31">
        <f t="shared" si="34"/>
        <v>0</v>
      </c>
      <c r="AP45" s="31">
        <f t="shared" si="34"/>
        <v>0</v>
      </c>
      <c r="AQ45" s="31">
        <f t="shared" si="34"/>
        <v>0</v>
      </c>
      <c r="AR45" s="31">
        <f t="shared" si="34"/>
        <v>0</v>
      </c>
      <c r="AS45" s="31">
        <f t="shared" si="34"/>
        <v>0</v>
      </c>
      <c r="AT45" s="31">
        <f t="shared" si="34"/>
        <v>0</v>
      </c>
      <c r="AU45" s="31">
        <f t="shared" si="34"/>
        <v>0</v>
      </c>
      <c r="AV45" s="31">
        <f t="shared" si="34"/>
        <v>0</v>
      </c>
      <c r="AW45" s="31">
        <f t="shared" si="34"/>
        <v>0</v>
      </c>
      <c r="AX45" s="31">
        <f t="shared" si="34"/>
        <v>0</v>
      </c>
      <c r="AY45" s="31">
        <f t="shared" si="34"/>
        <v>0</v>
      </c>
      <c r="AZ45" s="31">
        <f t="shared" si="34"/>
        <v>0</v>
      </c>
    </row>
    <row r="46" spans="2:52" x14ac:dyDescent="0.25">
      <c r="B46" s="24"/>
      <c r="C46" s="25" t="s">
        <v>8</v>
      </c>
      <c r="D46" s="25" t="s">
        <v>66</v>
      </c>
      <c r="E46" s="294">
        <f>'Green+Social Interface'!$O$20*'Green+Social Interface'!$P$20</f>
        <v>0</v>
      </c>
      <c r="F46" s="344">
        <f>$D$92</f>
        <v>1.2322330891931508</v>
      </c>
      <c r="G46" t="s">
        <v>942</v>
      </c>
      <c r="H46" s="21">
        <f>'Green+Social Interface'!$O$6</f>
        <v>7.0000000000000007E-2</v>
      </c>
      <c r="I46" s="22"/>
      <c r="J46" s="168">
        <f t="shared" si="25"/>
        <v>0</v>
      </c>
      <c r="K46" s="297">
        <f t="shared" si="29"/>
        <v>0</v>
      </c>
      <c r="L46" s="298">
        <f t="shared" si="30"/>
        <v>0</v>
      </c>
      <c r="M46" s="31">
        <f t="shared" si="31"/>
        <v>0</v>
      </c>
      <c r="N46" s="31">
        <f t="shared" si="32"/>
        <v>0</v>
      </c>
      <c r="O46" s="31">
        <f t="shared" si="34"/>
        <v>0</v>
      </c>
      <c r="P46" s="31">
        <f t="shared" si="34"/>
        <v>0</v>
      </c>
      <c r="Q46" s="31">
        <f t="shared" si="34"/>
        <v>0</v>
      </c>
      <c r="R46" s="31">
        <f t="shared" si="34"/>
        <v>0</v>
      </c>
      <c r="S46" s="31">
        <f t="shared" si="34"/>
        <v>0</v>
      </c>
      <c r="T46" s="31">
        <f t="shared" si="34"/>
        <v>0</v>
      </c>
      <c r="U46" s="31">
        <f t="shared" si="34"/>
        <v>0</v>
      </c>
      <c r="V46" s="31">
        <f t="shared" si="34"/>
        <v>0</v>
      </c>
      <c r="W46" s="31">
        <f t="shared" si="34"/>
        <v>0</v>
      </c>
      <c r="X46" s="31">
        <f t="shared" si="34"/>
        <v>0</v>
      </c>
      <c r="Y46" s="31">
        <f t="shared" si="34"/>
        <v>0</v>
      </c>
      <c r="Z46" s="31">
        <f t="shared" si="34"/>
        <v>0</v>
      </c>
      <c r="AA46" s="31">
        <f t="shared" si="34"/>
        <v>0</v>
      </c>
      <c r="AB46" s="31">
        <f t="shared" si="34"/>
        <v>0</v>
      </c>
      <c r="AC46" s="31">
        <f t="shared" si="34"/>
        <v>0</v>
      </c>
      <c r="AD46" s="31">
        <f t="shared" si="34"/>
        <v>0</v>
      </c>
      <c r="AE46" s="31">
        <f t="shared" si="34"/>
        <v>0</v>
      </c>
      <c r="AF46" s="31">
        <f t="shared" si="34"/>
        <v>0</v>
      </c>
      <c r="AG46" s="31">
        <f t="shared" si="34"/>
        <v>0</v>
      </c>
      <c r="AH46" s="31">
        <f t="shared" si="34"/>
        <v>0</v>
      </c>
      <c r="AI46" s="31">
        <f t="shared" si="34"/>
        <v>0</v>
      </c>
      <c r="AJ46" s="31">
        <f t="shared" si="34"/>
        <v>0</v>
      </c>
      <c r="AK46" s="31">
        <f t="shared" si="34"/>
        <v>0</v>
      </c>
      <c r="AL46" s="31">
        <f t="shared" si="34"/>
        <v>0</v>
      </c>
      <c r="AM46" s="31">
        <f t="shared" si="34"/>
        <v>0</v>
      </c>
      <c r="AN46" s="31">
        <f t="shared" si="34"/>
        <v>0</v>
      </c>
      <c r="AO46" s="31">
        <f t="shared" si="34"/>
        <v>0</v>
      </c>
      <c r="AP46" s="31">
        <f t="shared" si="34"/>
        <v>0</v>
      </c>
      <c r="AQ46" s="31">
        <f t="shared" si="34"/>
        <v>0</v>
      </c>
      <c r="AR46" s="31">
        <f t="shared" si="34"/>
        <v>0</v>
      </c>
      <c r="AS46" s="31">
        <f t="shared" si="34"/>
        <v>0</v>
      </c>
      <c r="AT46" s="31">
        <f t="shared" si="34"/>
        <v>0</v>
      </c>
      <c r="AU46" s="31">
        <f t="shared" si="34"/>
        <v>0</v>
      </c>
      <c r="AV46" s="31">
        <f t="shared" si="34"/>
        <v>0</v>
      </c>
      <c r="AW46" s="31">
        <f t="shared" si="34"/>
        <v>0</v>
      </c>
      <c r="AX46" s="31">
        <f t="shared" si="34"/>
        <v>0</v>
      </c>
      <c r="AY46" s="31">
        <f t="shared" si="34"/>
        <v>0</v>
      </c>
      <c r="AZ46" s="31">
        <f t="shared" si="34"/>
        <v>0</v>
      </c>
    </row>
    <row r="47" spans="2:52" x14ac:dyDescent="0.25">
      <c r="B47" s="24"/>
      <c r="C47" s="25" t="s">
        <v>9</v>
      </c>
      <c r="D47" s="25" t="s">
        <v>66</v>
      </c>
      <c r="E47" s="294">
        <f>'Green+Social Interface'!$O$21*'Green+Social Interface'!$P$21</f>
        <v>0</v>
      </c>
      <c r="F47" s="344">
        <f>$D$92</f>
        <v>1.2322330891931508</v>
      </c>
      <c r="G47" t="s">
        <v>942</v>
      </c>
      <c r="H47" s="21">
        <f>'Green+Social Interface'!$O$6</f>
        <v>7.0000000000000007E-2</v>
      </c>
      <c r="I47" s="22"/>
      <c r="J47" s="168">
        <f t="shared" si="25"/>
        <v>0</v>
      </c>
      <c r="K47" s="297">
        <f t="shared" si="29"/>
        <v>0</v>
      </c>
      <c r="L47" s="298">
        <f t="shared" si="30"/>
        <v>0</v>
      </c>
      <c r="M47" s="31">
        <f t="shared" si="31"/>
        <v>0</v>
      </c>
      <c r="N47" s="31">
        <f t="shared" si="32"/>
        <v>0</v>
      </c>
      <c r="O47" s="31">
        <f t="shared" si="34"/>
        <v>0</v>
      </c>
      <c r="P47" s="31">
        <f t="shared" si="34"/>
        <v>0</v>
      </c>
      <c r="Q47" s="31">
        <f t="shared" si="34"/>
        <v>0</v>
      </c>
      <c r="R47" s="31">
        <f t="shared" si="34"/>
        <v>0</v>
      </c>
      <c r="S47" s="31">
        <f t="shared" si="34"/>
        <v>0</v>
      </c>
      <c r="T47" s="31">
        <f t="shared" si="34"/>
        <v>0</v>
      </c>
      <c r="U47" s="31">
        <f t="shared" si="34"/>
        <v>0</v>
      </c>
      <c r="V47" s="31">
        <f t="shared" si="34"/>
        <v>0</v>
      </c>
      <c r="W47" s="31">
        <f t="shared" si="34"/>
        <v>0</v>
      </c>
      <c r="X47" s="31">
        <f t="shared" si="34"/>
        <v>0</v>
      </c>
      <c r="Y47" s="31">
        <f t="shared" si="34"/>
        <v>0</v>
      </c>
      <c r="Z47" s="31">
        <f t="shared" si="34"/>
        <v>0</v>
      </c>
      <c r="AA47" s="31">
        <f t="shared" si="34"/>
        <v>0</v>
      </c>
      <c r="AB47" s="31">
        <f t="shared" si="34"/>
        <v>0</v>
      </c>
      <c r="AC47" s="31">
        <f t="shared" si="34"/>
        <v>0</v>
      </c>
      <c r="AD47" s="31">
        <f t="shared" si="34"/>
        <v>0</v>
      </c>
      <c r="AE47" s="31">
        <f t="shared" si="34"/>
        <v>0</v>
      </c>
      <c r="AF47" s="31">
        <f t="shared" si="34"/>
        <v>0</v>
      </c>
      <c r="AG47" s="31">
        <f t="shared" si="34"/>
        <v>0</v>
      </c>
      <c r="AH47" s="31">
        <f t="shared" si="34"/>
        <v>0</v>
      </c>
      <c r="AI47" s="31">
        <f t="shared" si="34"/>
        <v>0</v>
      </c>
      <c r="AJ47" s="31">
        <f t="shared" si="34"/>
        <v>0</v>
      </c>
      <c r="AK47" s="31">
        <f t="shared" si="34"/>
        <v>0</v>
      </c>
      <c r="AL47" s="31">
        <f t="shared" si="34"/>
        <v>0</v>
      </c>
      <c r="AM47" s="31">
        <f t="shared" si="34"/>
        <v>0</v>
      </c>
      <c r="AN47" s="31">
        <f t="shared" si="34"/>
        <v>0</v>
      </c>
      <c r="AO47" s="31">
        <f t="shared" si="34"/>
        <v>0</v>
      </c>
      <c r="AP47" s="31">
        <f t="shared" si="34"/>
        <v>0</v>
      </c>
      <c r="AQ47" s="31">
        <f t="shared" si="34"/>
        <v>0</v>
      </c>
      <c r="AR47" s="31">
        <f t="shared" si="34"/>
        <v>0</v>
      </c>
      <c r="AS47" s="31">
        <f t="shared" si="34"/>
        <v>0</v>
      </c>
      <c r="AT47" s="31">
        <f t="shared" si="34"/>
        <v>0</v>
      </c>
      <c r="AU47" s="31">
        <f t="shared" si="34"/>
        <v>0</v>
      </c>
      <c r="AV47" s="31">
        <f t="shared" si="34"/>
        <v>0</v>
      </c>
      <c r="AW47" s="31">
        <f t="shared" si="34"/>
        <v>0</v>
      </c>
      <c r="AX47" s="31">
        <f t="shared" si="34"/>
        <v>0</v>
      </c>
      <c r="AY47" s="31">
        <f t="shared" si="34"/>
        <v>0</v>
      </c>
      <c r="AZ47" s="31">
        <f t="shared" si="34"/>
        <v>0</v>
      </c>
    </row>
    <row r="48" spans="2:52" x14ac:dyDescent="0.25">
      <c r="B48" s="24"/>
      <c r="C48" s="25" t="s">
        <v>11</v>
      </c>
      <c r="D48" s="25" t="s">
        <v>66</v>
      </c>
      <c r="E48" s="294">
        <f>'Green+Social Interface'!$O$22*'Green+Social Interface'!$P$22</f>
        <v>0</v>
      </c>
      <c r="F48" s="344">
        <f>$D$92</f>
        <v>1.2322330891931508</v>
      </c>
      <c r="G48" t="s">
        <v>942</v>
      </c>
      <c r="H48" s="21">
        <f>'Green+Social Interface'!$O$6</f>
        <v>7.0000000000000007E-2</v>
      </c>
      <c r="I48" s="22"/>
      <c r="J48" s="168">
        <f t="shared" si="25"/>
        <v>0</v>
      </c>
      <c r="K48" s="297">
        <f t="shared" si="29"/>
        <v>0</v>
      </c>
      <c r="L48" s="298">
        <f t="shared" si="30"/>
        <v>0</v>
      </c>
      <c r="M48" s="31">
        <f t="shared" si="31"/>
        <v>0</v>
      </c>
      <c r="N48" s="31">
        <f t="shared" si="32"/>
        <v>0</v>
      </c>
      <c r="O48" s="31">
        <f t="shared" si="34"/>
        <v>0</v>
      </c>
      <c r="P48" s="31">
        <f t="shared" si="34"/>
        <v>0</v>
      </c>
      <c r="Q48" s="31">
        <f t="shared" si="34"/>
        <v>0</v>
      </c>
      <c r="R48" s="31">
        <f t="shared" si="34"/>
        <v>0</v>
      </c>
      <c r="S48" s="31">
        <f t="shared" si="34"/>
        <v>0</v>
      </c>
      <c r="T48" s="31">
        <f t="shared" si="34"/>
        <v>0</v>
      </c>
      <c r="U48" s="31">
        <f t="shared" si="34"/>
        <v>0</v>
      </c>
      <c r="V48" s="31">
        <f t="shared" si="34"/>
        <v>0</v>
      </c>
      <c r="W48" s="31">
        <f t="shared" si="34"/>
        <v>0</v>
      </c>
      <c r="X48" s="31">
        <f t="shared" si="34"/>
        <v>0</v>
      </c>
      <c r="Y48" s="31">
        <f t="shared" si="34"/>
        <v>0</v>
      </c>
      <c r="Z48" s="31">
        <f t="shared" si="34"/>
        <v>0</v>
      </c>
      <c r="AA48" s="31">
        <f t="shared" si="34"/>
        <v>0</v>
      </c>
      <c r="AB48" s="31">
        <f t="shared" si="34"/>
        <v>0</v>
      </c>
      <c r="AC48" s="31">
        <f t="shared" si="34"/>
        <v>0</v>
      </c>
      <c r="AD48" s="31">
        <f t="shared" si="34"/>
        <v>0</v>
      </c>
      <c r="AE48" s="31">
        <f t="shared" si="34"/>
        <v>0</v>
      </c>
      <c r="AF48" s="31">
        <f t="shared" si="34"/>
        <v>0</v>
      </c>
      <c r="AG48" s="31">
        <f t="shared" si="34"/>
        <v>0</v>
      </c>
      <c r="AH48" s="31">
        <f t="shared" si="34"/>
        <v>0</v>
      </c>
      <c r="AI48" s="31">
        <f t="shared" si="34"/>
        <v>0</v>
      </c>
      <c r="AJ48" s="31">
        <f t="shared" si="34"/>
        <v>0</v>
      </c>
      <c r="AK48" s="31">
        <f t="shared" si="34"/>
        <v>0</v>
      </c>
      <c r="AL48" s="31">
        <f t="shared" si="34"/>
        <v>0</v>
      </c>
      <c r="AM48" s="31">
        <f t="shared" si="34"/>
        <v>0</v>
      </c>
      <c r="AN48" s="31">
        <f t="shared" si="34"/>
        <v>0</v>
      </c>
      <c r="AO48" s="31">
        <f t="shared" si="34"/>
        <v>0</v>
      </c>
      <c r="AP48" s="31">
        <f t="shared" si="34"/>
        <v>0</v>
      </c>
      <c r="AQ48" s="31">
        <f t="shared" si="34"/>
        <v>0</v>
      </c>
      <c r="AR48" s="31">
        <f t="shared" si="34"/>
        <v>0</v>
      </c>
      <c r="AS48" s="31">
        <f t="shared" si="34"/>
        <v>0</v>
      </c>
      <c r="AT48" s="31">
        <f t="shared" si="34"/>
        <v>0</v>
      </c>
      <c r="AU48" s="31">
        <f t="shared" si="34"/>
        <v>0</v>
      </c>
      <c r="AV48" s="31">
        <f t="shared" si="34"/>
        <v>0</v>
      </c>
      <c r="AW48" s="31">
        <f t="shared" si="34"/>
        <v>0</v>
      </c>
      <c r="AX48" s="31">
        <f t="shared" si="34"/>
        <v>0</v>
      </c>
      <c r="AY48" s="31">
        <f t="shared" si="34"/>
        <v>0</v>
      </c>
      <c r="AZ48" s="31">
        <f t="shared" si="34"/>
        <v>0</v>
      </c>
    </row>
    <row r="49" spans="2:52" x14ac:dyDescent="0.25">
      <c r="B49" s="295" t="s">
        <v>936</v>
      </c>
      <c r="C49" s="25"/>
      <c r="D49" s="25"/>
      <c r="E49" s="34"/>
      <c r="F49" s="27"/>
      <c r="G49" s="31"/>
      <c r="H49" s="21"/>
      <c r="I49" s="22"/>
      <c r="J49" s="297"/>
      <c r="K49" s="297"/>
      <c r="L49" s="299"/>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33"/>
      <c r="AP49" s="33"/>
      <c r="AQ49" s="33"/>
      <c r="AR49" s="33"/>
      <c r="AS49" s="33"/>
      <c r="AT49" s="33"/>
      <c r="AU49" s="33"/>
      <c r="AV49" s="33"/>
      <c r="AW49" s="33"/>
      <c r="AX49" s="33"/>
      <c r="AY49" s="33"/>
      <c r="AZ49" s="33"/>
    </row>
    <row r="50" spans="2:52" x14ac:dyDescent="0.25">
      <c r="B50" s="24" t="s">
        <v>941</v>
      </c>
      <c r="C50" s="25"/>
      <c r="D50" s="25"/>
      <c r="E50" s="34"/>
      <c r="F50" s="27"/>
      <c r="G50" s="31" t="s">
        <v>943</v>
      </c>
      <c r="H50" s="21"/>
      <c r="I50" s="22"/>
      <c r="J50" s="168">
        <f>IF(AND(K50&gt;0,$C$67&gt;0),K50/$C$67,0)</f>
        <v>0</v>
      </c>
      <c r="K50" s="297">
        <f t="shared" ref="K50" si="35">AVERAGE(M50:AZ50)</f>
        <v>0</v>
      </c>
      <c r="L50" s="298">
        <f t="shared" ref="L50" si="36">SUM(M50:AZ50)</f>
        <v>0</v>
      </c>
      <c r="M50" s="343">
        <f t="shared" ref="M50:AZ50" si="37">SUM(M29:M48)/1000</f>
        <v>0</v>
      </c>
      <c r="N50" s="343">
        <f t="shared" si="37"/>
        <v>0</v>
      </c>
      <c r="O50" s="343">
        <f t="shared" si="37"/>
        <v>0</v>
      </c>
      <c r="P50" s="343">
        <f t="shared" si="37"/>
        <v>0</v>
      </c>
      <c r="Q50" s="343">
        <f t="shared" si="37"/>
        <v>0</v>
      </c>
      <c r="R50" s="343">
        <f t="shared" si="37"/>
        <v>0</v>
      </c>
      <c r="S50" s="343">
        <f t="shared" si="37"/>
        <v>0</v>
      </c>
      <c r="T50" s="343">
        <f t="shared" si="37"/>
        <v>0</v>
      </c>
      <c r="U50" s="343">
        <f t="shared" si="37"/>
        <v>0</v>
      </c>
      <c r="V50" s="343">
        <f t="shared" si="37"/>
        <v>0</v>
      </c>
      <c r="W50" s="343">
        <f t="shared" si="37"/>
        <v>0</v>
      </c>
      <c r="X50" s="343">
        <f t="shared" si="37"/>
        <v>0</v>
      </c>
      <c r="Y50" s="343">
        <f t="shared" si="37"/>
        <v>0</v>
      </c>
      <c r="Z50" s="343">
        <f t="shared" si="37"/>
        <v>0</v>
      </c>
      <c r="AA50" s="343">
        <f t="shared" si="37"/>
        <v>0</v>
      </c>
      <c r="AB50" s="343">
        <f t="shared" si="37"/>
        <v>0</v>
      </c>
      <c r="AC50" s="343">
        <f t="shared" si="37"/>
        <v>0</v>
      </c>
      <c r="AD50" s="343">
        <f t="shared" si="37"/>
        <v>0</v>
      </c>
      <c r="AE50" s="343">
        <f t="shared" si="37"/>
        <v>0</v>
      </c>
      <c r="AF50" s="343">
        <f t="shared" si="37"/>
        <v>0</v>
      </c>
      <c r="AG50" s="343">
        <f t="shared" si="37"/>
        <v>0</v>
      </c>
      <c r="AH50" s="343">
        <f t="shared" si="37"/>
        <v>0</v>
      </c>
      <c r="AI50" s="343">
        <f t="shared" si="37"/>
        <v>0</v>
      </c>
      <c r="AJ50" s="343">
        <f t="shared" si="37"/>
        <v>0</v>
      </c>
      <c r="AK50" s="343">
        <f t="shared" si="37"/>
        <v>0</v>
      </c>
      <c r="AL50" s="343">
        <f t="shared" si="37"/>
        <v>0</v>
      </c>
      <c r="AM50" s="343">
        <f t="shared" si="37"/>
        <v>0</v>
      </c>
      <c r="AN50" s="343">
        <f t="shared" si="37"/>
        <v>0</v>
      </c>
      <c r="AO50" s="343">
        <f t="shared" si="37"/>
        <v>0</v>
      </c>
      <c r="AP50" s="343">
        <f t="shared" si="37"/>
        <v>0</v>
      </c>
      <c r="AQ50" s="343">
        <f t="shared" si="37"/>
        <v>0</v>
      </c>
      <c r="AR50" s="343">
        <f t="shared" si="37"/>
        <v>0</v>
      </c>
      <c r="AS50" s="343">
        <f t="shared" si="37"/>
        <v>0</v>
      </c>
      <c r="AT50" s="343">
        <f t="shared" si="37"/>
        <v>0</v>
      </c>
      <c r="AU50" s="343">
        <f t="shared" si="37"/>
        <v>0</v>
      </c>
      <c r="AV50" s="343">
        <f t="shared" si="37"/>
        <v>0</v>
      </c>
      <c r="AW50" s="343">
        <f t="shared" si="37"/>
        <v>0</v>
      </c>
      <c r="AX50" s="343">
        <f t="shared" si="37"/>
        <v>0</v>
      </c>
      <c r="AY50" s="343">
        <f t="shared" si="37"/>
        <v>0</v>
      </c>
      <c r="AZ50" s="343">
        <f t="shared" si="37"/>
        <v>0</v>
      </c>
    </row>
    <row r="51" spans="2:52" x14ac:dyDescent="0.25">
      <c r="B51" s="24" t="s">
        <v>940</v>
      </c>
      <c r="C51" s="25"/>
      <c r="D51" s="25"/>
      <c r="E51" s="34"/>
      <c r="F51" s="27"/>
      <c r="G51" s="31" t="s">
        <v>913</v>
      </c>
      <c r="H51" s="21"/>
      <c r="I51" s="22"/>
      <c r="J51" s="168">
        <f>IF(AND(K51&gt;0,$C$67&gt;0),K51/$C$67,0)</f>
        <v>0</v>
      </c>
      <c r="K51" s="297">
        <f t="shared" ref="K51" si="38">AVERAGE(M51:AZ51)</f>
        <v>0</v>
      </c>
      <c r="L51" s="298">
        <f t="shared" ref="L51" si="39">SUM(M51:AZ51)</f>
        <v>0</v>
      </c>
      <c r="M51" s="33">
        <f>M50*('Green+Social Interface'!$Z$65*'Green+Social Interface'!$Z$62)</f>
        <v>0</v>
      </c>
      <c r="N51" s="33">
        <f>N50*('Green+Social Interface'!$Z$65*'Green+Social Interface'!$Z$62)</f>
        <v>0</v>
      </c>
      <c r="O51" s="33">
        <f>O50*('Green+Social Interface'!$Z$65*'Green+Social Interface'!$Z$62)</f>
        <v>0</v>
      </c>
      <c r="P51" s="33">
        <f>P50*('Green+Social Interface'!$Z$65*'Green+Social Interface'!$Z$62)</f>
        <v>0</v>
      </c>
      <c r="Q51" s="33">
        <f>Q50*('Green+Social Interface'!$Z$65*'Green+Social Interface'!$Z$62)</f>
        <v>0</v>
      </c>
      <c r="R51" s="33">
        <f>R50*('Green+Social Interface'!$Z$65*'Green+Social Interface'!$Z$62)</f>
        <v>0</v>
      </c>
      <c r="S51" s="33">
        <f>S50*('Green+Social Interface'!$Z$65*'Green+Social Interface'!$Z$62)</f>
        <v>0</v>
      </c>
      <c r="T51" s="33">
        <f>T50*('Green+Social Interface'!$Z$65*'Green+Social Interface'!$Z$62)</f>
        <v>0</v>
      </c>
      <c r="U51" s="33">
        <f>U50*('Green+Social Interface'!$Z$65*'Green+Social Interface'!$Z$62)</f>
        <v>0</v>
      </c>
      <c r="V51" s="33">
        <f>V50*('Green+Social Interface'!$Z$65*'Green+Social Interface'!$Z$62)</f>
        <v>0</v>
      </c>
      <c r="W51" s="33">
        <f>W50*('Green+Social Interface'!$Z$65*'Green+Social Interface'!$Z$62)</f>
        <v>0</v>
      </c>
      <c r="X51" s="33">
        <f>X50*('Green+Social Interface'!$Z$65*'Green+Social Interface'!$Z$62)</f>
        <v>0</v>
      </c>
      <c r="Y51" s="33">
        <f>Y50*('Green+Social Interface'!$Z$65*'Green+Social Interface'!$Z$62)</f>
        <v>0</v>
      </c>
      <c r="Z51" s="33">
        <f>Z50*('Green+Social Interface'!$Z$65*'Green+Social Interface'!$Z$62)</f>
        <v>0</v>
      </c>
      <c r="AA51" s="33">
        <f>AA50*('Green+Social Interface'!$Z$65*'Green+Social Interface'!$Z$62)</f>
        <v>0</v>
      </c>
      <c r="AB51" s="33">
        <f>AB50*('Green+Social Interface'!$Z$65*'Green+Social Interface'!$Z$62)</f>
        <v>0</v>
      </c>
      <c r="AC51" s="33">
        <f>AC50*('Green+Social Interface'!$Z$65*'Green+Social Interface'!$Z$62)</f>
        <v>0</v>
      </c>
      <c r="AD51" s="33">
        <f>AD50*('Green+Social Interface'!$Z$65*'Green+Social Interface'!$Z$62)</f>
        <v>0</v>
      </c>
      <c r="AE51" s="33">
        <f>AE50*('Green+Social Interface'!$Z$65*'Green+Social Interface'!$Z$62)</f>
        <v>0</v>
      </c>
      <c r="AF51" s="33">
        <f>AF50*('Green+Social Interface'!$Z$65*'Green+Social Interface'!$Z$62)</f>
        <v>0</v>
      </c>
      <c r="AG51" s="33">
        <f>AG50*('Green+Social Interface'!$Z$65*'Green+Social Interface'!$Z$62)</f>
        <v>0</v>
      </c>
      <c r="AH51" s="33">
        <f>AH50*('Green+Social Interface'!$Z$65*'Green+Social Interface'!$Z$62)</f>
        <v>0</v>
      </c>
      <c r="AI51" s="33">
        <f>AI50*('Green+Social Interface'!$Z$65*'Green+Social Interface'!$Z$62)</f>
        <v>0</v>
      </c>
      <c r="AJ51" s="33">
        <f>AJ50*('Green+Social Interface'!$Z$65*'Green+Social Interface'!$Z$62)</f>
        <v>0</v>
      </c>
      <c r="AK51" s="33">
        <f>AK50*('Green+Social Interface'!$Z$65*'Green+Social Interface'!$Z$62)</f>
        <v>0</v>
      </c>
      <c r="AL51" s="33">
        <f>AL50*('Green+Social Interface'!$Z$65*'Green+Social Interface'!$Z$62)</f>
        <v>0</v>
      </c>
      <c r="AM51" s="33">
        <f>AM50*('Green+Social Interface'!$Z$65*'Green+Social Interface'!$Z$62)</f>
        <v>0</v>
      </c>
      <c r="AN51" s="33">
        <f>AN50*('Green+Social Interface'!$Z$65*'Green+Social Interface'!$Z$62)</f>
        <v>0</v>
      </c>
      <c r="AO51" s="33">
        <f>AO50*('Green+Social Interface'!$Z$65*'Green+Social Interface'!$Z$62)</f>
        <v>0</v>
      </c>
      <c r="AP51" s="33">
        <f>AP50*('Green+Social Interface'!$Z$65*'Green+Social Interface'!$Z$62)</f>
        <v>0</v>
      </c>
      <c r="AQ51" s="33">
        <f>AQ50*('Green+Social Interface'!$Z$65*'Green+Social Interface'!$Z$62)</f>
        <v>0</v>
      </c>
      <c r="AR51" s="33">
        <f>AR50*('Green+Social Interface'!$Z$65*'Green+Social Interface'!$Z$62)</f>
        <v>0</v>
      </c>
      <c r="AS51" s="33">
        <f>AS50*('Green+Social Interface'!$Z$65*'Green+Social Interface'!$Z$62)</f>
        <v>0</v>
      </c>
      <c r="AT51" s="33">
        <f>AT50*('Green+Social Interface'!$Z$65*'Green+Social Interface'!$Z$62)</f>
        <v>0</v>
      </c>
      <c r="AU51" s="33">
        <f>AU50*('Green+Social Interface'!$Z$65*'Green+Social Interface'!$Z$62)</f>
        <v>0</v>
      </c>
      <c r="AV51" s="33">
        <f>AV50*('Green+Social Interface'!$Z$65*'Green+Social Interface'!$Z$62)</f>
        <v>0</v>
      </c>
      <c r="AW51" s="33">
        <f>AW50*('Green+Social Interface'!$Z$65*'Green+Social Interface'!$Z$62)</f>
        <v>0</v>
      </c>
      <c r="AX51" s="33">
        <f>AX50*('Green+Social Interface'!$Z$65*'Green+Social Interface'!$Z$62)</f>
        <v>0</v>
      </c>
      <c r="AY51" s="33">
        <f>AY50*('Green+Social Interface'!$Z$65*'Green+Social Interface'!$Z$62)</f>
        <v>0</v>
      </c>
      <c r="AZ51" s="33">
        <f>AZ50*('Green+Social Interface'!$Z$65*'Green+Social Interface'!$Z$62)</f>
        <v>0</v>
      </c>
    </row>
    <row r="52" spans="2:52" x14ac:dyDescent="0.25">
      <c r="B52" s="24"/>
      <c r="C52" s="25"/>
      <c r="D52" s="25"/>
      <c r="E52" s="34"/>
      <c r="F52" s="27"/>
      <c r="G52" s="31"/>
      <c r="H52" s="21"/>
      <c r="I52" s="22"/>
      <c r="J52" s="32"/>
      <c r="K52" s="32"/>
      <c r="L52" s="152"/>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row>
    <row r="53" spans="2:52" x14ac:dyDescent="0.25">
      <c r="B53" s="24"/>
      <c r="C53" s="25"/>
      <c r="D53" s="25"/>
      <c r="E53" s="34"/>
      <c r="F53" s="27"/>
      <c r="G53" s="31"/>
      <c r="H53" s="21"/>
      <c r="I53" s="22"/>
      <c r="J53" s="32"/>
      <c r="K53" s="32"/>
      <c r="L53" s="152"/>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33"/>
      <c r="AP53" s="33"/>
      <c r="AQ53" s="33"/>
      <c r="AR53" s="33"/>
      <c r="AS53" s="33"/>
      <c r="AT53" s="33"/>
      <c r="AU53" s="33"/>
      <c r="AV53" s="33"/>
      <c r="AW53" s="33"/>
      <c r="AX53" s="33"/>
      <c r="AY53" s="33"/>
      <c r="AZ53" s="33"/>
    </row>
    <row r="54" spans="2:52" x14ac:dyDescent="0.25">
      <c r="B54" s="24"/>
      <c r="C54" s="25"/>
      <c r="D54" s="25"/>
      <c r="E54" s="34"/>
      <c r="F54" s="27"/>
      <c r="G54" s="31"/>
      <c r="H54" s="21"/>
      <c r="I54" s="22"/>
      <c r="J54" s="32"/>
      <c r="K54" s="32"/>
      <c r="L54" s="152"/>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row>
    <row r="55" spans="2:52" x14ac:dyDescent="0.25">
      <c r="B55" s="24"/>
      <c r="C55" s="25"/>
      <c r="D55" s="25"/>
      <c r="E55" s="34"/>
      <c r="F55" s="27"/>
      <c r="G55" s="31"/>
      <c r="H55" s="21"/>
      <c r="I55" s="22"/>
      <c r="J55" s="32"/>
      <c r="K55" s="32"/>
      <c r="L55" s="152"/>
      <c r="M55" s="33"/>
      <c r="N55" s="33"/>
      <c r="O55" s="33"/>
      <c r="P55" s="33"/>
      <c r="Q55" s="33"/>
      <c r="R55" s="33"/>
      <c r="S55" s="33"/>
      <c r="T55" s="33"/>
      <c r="U55" s="33"/>
      <c r="V55" s="33"/>
      <c r="W55" s="33"/>
      <c r="X55" s="33"/>
      <c r="Y55" s="33"/>
      <c r="Z55" s="33"/>
      <c r="AA55" s="33"/>
      <c r="AB55" s="33"/>
      <c r="AC55" s="33"/>
      <c r="AD55" s="33"/>
      <c r="AE55" s="33"/>
      <c r="AF55" s="33"/>
      <c r="AG55" s="33"/>
      <c r="AH55" s="33"/>
      <c r="AI55" s="33"/>
      <c r="AJ55" s="33"/>
      <c r="AK55" s="33"/>
      <c r="AL55" s="33"/>
      <c r="AM55" s="33"/>
      <c r="AN55" s="33"/>
      <c r="AO55" s="33"/>
      <c r="AP55" s="33"/>
      <c r="AQ55" s="33"/>
      <c r="AR55" s="33"/>
      <c r="AS55" s="33"/>
      <c r="AT55" s="33"/>
      <c r="AU55" s="33"/>
      <c r="AV55" s="33"/>
      <c r="AW55" s="33"/>
      <c r="AX55" s="33"/>
      <c r="AY55" s="33"/>
      <c r="AZ55" s="33"/>
    </row>
    <row r="56" spans="2:52" x14ac:dyDescent="0.25">
      <c r="B56" s="35"/>
      <c r="C56" s="36"/>
      <c r="D56" s="36"/>
      <c r="E56" s="37"/>
      <c r="F56" s="38"/>
      <c r="G56" s="39"/>
      <c r="H56" s="21"/>
      <c r="I56" s="22"/>
      <c r="J56" s="70"/>
      <c r="K56" s="70"/>
      <c r="L56" s="153"/>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row>
    <row r="57" spans="2:52" x14ac:dyDescent="0.25">
      <c r="B57" s="41" t="s">
        <v>944</v>
      </c>
      <c r="C57" s="42"/>
      <c r="D57" s="42"/>
      <c r="E57" s="43"/>
      <c r="F57" s="44"/>
      <c r="G57" s="45"/>
      <c r="H57" s="46"/>
      <c r="I57" s="3"/>
      <c r="J57" s="163"/>
      <c r="K57" s="163"/>
      <c r="L57" s="48"/>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8"/>
    </row>
    <row r="58" spans="2:52" x14ac:dyDescent="0.25">
      <c r="B58" s="49" t="s">
        <v>945</v>
      </c>
      <c r="C58" s="50"/>
      <c r="D58" s="50" t="s">
        <v>66</v>
      </c>
      <c r="E58" s="51"/>
      <c r="F58" s="52"/>
      <c r="G58" s="53"/>
      <c r="H58" s="54"/>
      <c r="I58" s="2"/>
      <c r="J58" s="471">
        <f>IF(AND(K58&gt;0,$C$67&gt;0),K58/$C$67,0)</f>
        <v>0</v>
      </c>
      <c r="K58" s="471">
        <f t="shared" ref="K58:K59" si="40">AVERAGE(M58:AZ58)</f>
        <v>0</v>
      </c>
      <c r="L58" s="472">
        <f t="shared" ref="L58:L59" si="41">SUM(M58:AZ58)</f>
        <v>0</v>
      </c>
      <c r="M58" s="473">
        <f>M50+'Green Infrastructure'!M42+('Green Infrastructure'!M29+'Green Infrastructure'!M30)</f>
        <v>0</v>
      </c>
      <c r="N58" s="473">
        <f>N50+'Green Infrastructure'!N42+('Green Infrastructure'!N29+'Green Infrastructure'!N30)</f>
        <v>0</v>
      </c>
      <c r="O58" s="473">
        <f>O50+'Green Infrastructure'!O42+('Green Infrastructure'!O29+'Green Infrastructure'!O30)</f>
        <v>0</v>
      </c>
      <c r="P58" s="473">
        <f>P50+'Green Infrastructure'!P42+('Green Infrastructure'!P29+'Green Infrastructure'!P30)</f>
        <v>0</v>
      </c>
      <c r="Q58" s="473">
        <f>Q50+'Green Infrastructure'!Q42+('Green Infrastructure'!Q29+'Green Infrastructure'!Q30)</f>
        <v>0</v>
      </c>
      <c r="R58" s="473">
        <f>R50+'Green Infrastructure'!R42+('Green Infrastructure'!R29+'Green Infrastructure'!R30)</f>
        <v>0</v>
      </c>
      <c r="S58" s="473">
        <f>S50+'Green Infrastructure'!S42+('Green Infrastructure'!S29+'Green Infrastructure'!S30)</f>
        <v>0</v>
      </c>
      <c r="T58" s="473">
        <f>T50+'Green Infrastructure'!T42+('Green Infrastructure'!T29+'Green Infrastructure'!T30)</f>
        <v>0</v>
      </c>
      <c r="U58" s="473">
        <f>U50+'Green Infrastructure'!U42+('Green Infrastructure'!U29+'Green Infrastructure'!U30)</f>
        <v>0</v>
      </c>
      <c r="V58" s="473">
        <f>V50+'Green Infrastructure'!V42+('Green Infrastructure'!V29+'Green Infrastructure'!V30)</f>
        <v>0</v>
      </c>
      <c r="W58" s="473">
        <f>W50+'Green Infrastructure'!W42+('Green Infrastructure'!W29+'Green Infrastructure'!W30)</f>
        <v>0</v>
      </c>
      <c r="X58" s="473">
        <f>X50+'Green Infrastructure'!X42+('Green Infrastructure'!X29+'Green Infrastructure'!X30)</f>
        <v>0</v>
      </c>
      <c r="Y58" s="473">
        <f>Y50+'Green Infrastructure'!Y42+('Green Infrastructure'!Y29+'Green Infrastructure'!Y30)</f>
        <v>0</v>
      </c>
      <c r="Z58" s="473">
        <f>Z50+'Green Infrastructure'!Z42+('Green Infrastructure'!Z29+'Green Infrastructure'!Z30)</f>
        <v>0</v>
      </c>
      <c r="AA58" s="473">
        <f>AA50+'Green Infrastructure'!AA42+('Green Infrastructure'!AA29+'Green Infrastructure'!AA30)</f>
        <v>0</v>
      </c>
      <c r="AB58" s="473">
        <f>AB50+'Green Infrastructure'!AB42+('Green Infrastructure'!AB29+'Green Infrastructure'!AB30)</f>
        <v>0</v>
      </c>
      <c r="AC58" s="473">
        <f>AC50+'Green Infrastructure'!AC42+('Green Infrastructure'!AC29+'Green Infrastructure'!AC30)</f>
        <v>0</v>
      </c>
      <c r="AD58" s="473">
        <f>AD50+'Green Infrastructure'!AD42+('Green Infrastructure'!AD29+'Green Infrastructure'!AD30)</f>
        <v>0</v>
      </c>
      <c r="AE58" s="473">
        <f>AE50+'Green Infrastructure'!AE42+('Green Infrastructure'!AE29+'Green Infrastructure'!AE30)</f>
        <v>0</v>
      </c>
      <c r="AF58" s="473">
        <f>AF50+'Green Infrastructure'!AF42+('Green Infrastructure'!AF29+'Green Infrastructure'!AF30)</f>
        <v>0</v>
      </c>
      <c r="AG58" s="473">
        <f>AG50+'Green Infrastructure'!AG42+('Green Infrastructure'!AG29+'Green Infrastructure'!AG30)</f>
        <v>0</v>
      </c>
      <c r="AH58" s="473">
        <f>AH50+'Green Infrastructure'!AH42+('Green Infrastructure'!AH29+'Green Infrastructure'!AH30)</f>
        <v>0</v>
      </c>
      <c r="AI58" s="473">
        <f>AI50+'Green Infrastructure'!AI42+('Green Infrastructure'!AI29+'Green Infrastructure'!AI30)</f>
        <v>0</v>
      </c>
      <c r="AJ58" s="473">
        <f>AJ50+'Green Infrastructure'!AJ42+('Green Infrastructure'!AJ29+'Green Infrastructure'!AJ30)</f>
        <v>0</v>
      </c>
      <c r="AK58" s="473">
        <f>AK50+'Green Infrastructure'!AK42+('Green Infrastructure'!AK29+'Green Infrastructure'!AK30)</f>
        <v>0</v>
      </c>
      <c r="AL58" s="473">
        <f>AL50+'Green Infrastructure'!AL42+('Green Infrastructure'!AL29+'Green Infrastructure'!AL30)</f>
        <v>0</v>
      </c>
      <c r="AM58" s="473">
        <f>AM50+'Green Infrastructure'!AM42+('Green Infrastructure'!AM29+'Green Infrastructure'!AM30)</f>
        <v>0</v>
      </c>
      <c r="AN58" s="473">
        <f>AN50+'Green Infrastructure'!AN42+('Green Infrastructure'!AN29+'Green Infrastructure'!AN30)</f>
        <v>0</v>
      </c>
      <c r="AO58" s="473">
        <f>AO50+'Green Infrastructure'!AO42+('Green Infrastructure'!AO29+'Green Infrastructure'!AO30)</f>
        <v>0</v>
      </c>
      <c r="AP58" s="473">
        <f>AP50+'Green Infrastructure'!AP42+('Green Infrastructure'!AP29+'Green Infrastructure'!AP30)</f>
        <v>0</v>
      </c>
      <c r="AQ58" s="473">
        <f>AQ50+'Green Infrastructure'!AQ42+('Green Infrastructure'!AQ29+'Green Infrastructure'!AQ30)</f>
        <v>0</v>
      </c>
      <c r="AR58" s="473">
        <f>AR50+'Green Infrastructure'!AR42+('Green Infrastructure'!AR29+'Green Infrastructure'!AR30)</f>
        <v>0</v>
      </c>
      <c r="AS58" s="473">
        <f>AS50+'Green Infrastructure'!AS42+('Green Infrastructure'!AS29+'Green Infrastructure'!AS30)</f>
        <v>0</v>
      </c>
      <c r="AT58" s="473">
        <f>AT50+'Green Infrastructure'!AT42+('Green Infrastructure'!AT29+'Green Infrastructure'!AT30)</f>
        <v>0</v>
      </c>
      <c r="AU58" s="473">
        <f>AU50+'Green Infrastructure'!AU42+('Green Infrastructure'!AU29+'Green Infrastructure'!AU30)</f>
        <v>0</v>
      </c>
      <c r="AV58" s="473">
        <f>AV50+'Green Infrastructure'!AV42+('Green Infrastructure'!AV29+'Green Infrastructure'!AV30)</f>
        <v>0</v>
      </c>
      <c r="AW58" s="473">
        <f>AW50+'Green Infrastructure'!AW42+('Green Infrastructure'!AW29+'Green Infrastructure'!AW30)</f>
        <v>0</v>
      </c>
      <c r="AX58" s="473">
        <f>AX50+'Green Infrastructure'!AX42+('Green Infrastructure'!AX29+'Green Infrastructure'!AX30)</f>
        <v>0</v>
      </c>
      <c r="AY58" s="473">
        <f>AY50+'Green Infrastructure'!AY42+('Green Infrastructure'!AY29+'Green Infrastructure'!AY30)</f>
        <v>0</v>
      </c>
      <c r="AZ58" s="473">
        <f>AZ50+'Green Infrastructure'!AZ42+('Green Infrastructure'!AZ29+'Green Infrastructure'!AZ30)</f>
        <v>0</v>
      </c>
    </row>
    <row r="59" spans="2:52" x14ac:dyDescent="0.25">
      <c r="B59" s="57" t="s">
        <v>1124</v>
      </c>
      <c r="C59" s="58" t="s">
        <v>1073</v>
      </c>
      <c r="D59" s="58" t="s">
        <v>66</v>
      </c>
      <c r="E59" s="59"/>
      <c r="F59" s="60"/>
      <c r="G59" s="61"/>
      <c r="H59" s="62"/>
      <c r="I59" s="2"/>
      <c r="J59" s="63">
        <f>IF(AND(K59&gt;0,$C$67&gt;0),K59/$C$67,0)</f>
        <v>0</v>
      </c>
      <c r="K59" s="63">
        <f t="shared" si="40"/>
        <v>0</v>
      </c>
      <c r="L59" s="65">
        <f t="shared" si="41"/>
        <v>0</v>
      </c>
      <c r="M59" s="64">
        <f>M58*(('Green+Social Interface'!$Z$62*'Green+Social Interface'!$Z$65)*(1+0.0255))</f>
        <v>0</v>
      </c>
      <c r="N59" s="64">
        <f>N58*(('Green+Social Interface'!$Z$62*'Green+Social Interface'!$Z$65)*(1+0.0255+$C$70)^(N3-1))</f>
        <v>0</v>
      </c>
      <c r="O59" s="64">
        <f>O58*(('Green+Social Interface'!$Z$62*'Green+Social Interface'!$Z$65)*(1+0.0255+$C$70)^(O3-1))</f>
        <v>0</v>
      </c>
      <c r="P59" s="64">
        <f>P58*(('Green+Social Interface'!$Z$62*'Green+Social Interface'!$Z$65)*(1+0.0255+$C$70)^(P3-1))</f>
        <v>0</v>
      </c>
      <c r="Q59" s="64">
        <f>Q58*(('Green+Social Interface'!$Z$62*'Green+Social Interface'!$Z$65)*(1+0.0255+$C$70)^(Q3-1))</f>
        <v>0</v>
      </c>
      <c r="R59" s="64">
        <f>R58*(('Green+Social Interface'!$Z$62*'Green+Social Interface'!$Z$65)*(1+0.0255+$C$70)^(R3-1))</f>
        <v>0</v>
      </c>
      <c r="S59" s="64">
        <f>S58*(('Green+Social Interface'!$Z$62*'Green+Social Interface'!$Z$65)*(1+0.0255+$C$70)^(S3-1))</f>
        <v>0</v>
      </c>
      <c r="T59" s="64">
        <f>T58*(('Green+Social Interface'!$Z$62*'Green+Social Interface'!$Z$65)*(1+0.0255+$C$70)^(T3-1))</f>
        <v>0</v>
      </c>
      <c r="U59" s="64">
        <f>U58*(('Green+Social Interface'!$Z$62*'Green+Social Interface'!$Z$65)*(1+0.0255+$C$70)^(U3-1))</f>
        <v>0</v>
      </c>
      <c r="V59" s="64">
        <f>V58*(('Green+Social Interface'!$Z$62*'Green+Social Interface'!$Z$65)*(1+0.0255+$C$70)^(V3-1))</f>
        <v>0</v>
      </c>
      <c r="W59" s="64">
        <f>W58*(('Green+Social Interface'!$Z$62*'Green+Social Interface'!$Z$65)*(1+0.0255+$C$70)^(W3-1))</f>
        <v>0</v>
      </c>
      <c r="X59" s="64">
        <f>X58*(('Green+Social Interface'!$Z$62*'Green+Social Interface'!$Z$65)*(1+0.0255+$C$70)^(X3-1))</f>
        <v>0</v>
      </c>
      <c r="Y59" s="64">
        <f>Y58*(('Green+Social Interface'!$Z$62*'Green+Social Interface'!$Z$65)*(1+0.0255+$C$70)^(Y3-1))</f>
        <v>0</v>
      </c>
      <c r="Z59" s="64">
        <f>Z58*(('Green+Social Interface'!$Z$62*'Green+Social Interface'!$Z$65)*(1+0.0255+$C$70)^(Z3-1))</f>
        <v>0</v>
      </c>
      <c r="AA59" s="64">
        <f>AA58*(('Green+Social Interface'!$Z$62*'Green+Social Interface'!$Z$65)*(1+0.0255+$C$70)^(AA3-1))</f>
        <v>0</v>
      </c>
      <c r="AB59" s="64">
        <f>AB58*(('Green+Social Interface'!$Z$62*'Green+Social Interface'!$Z$65)*(1+0.0255+$C$70)^(AB3-1))</f>
        <v>0</v>
      </c>
      <c r="AC59" s="64">
        <f>AC58*(('Green+Social Interface'!$Z$62*'Green+Social Interface'!$Z$65)*(1+0.0255+$C$70)^(AC3-1))</f>
        <v>0</v>
      </c>
      <c r="AD59" s="64">
        <f>AD58*(('Green+Social Interface'!$Z$62*'Green+Social Interface'!$Z$65)*(1+0.0255+$C$70)^(AD3-1))</f>
        <v>0</v>
      </c>
      <c r="AE59" s="64">
        <f>AE58*(('Green+Social Interface'!$Z$62*'Green+Social Interface'!$Z$65)*(1+0.0255+$C$70)^(AE3-1))</f>
        <v>0</v>
      </c>
      <c r="AF59" s="64">
        <f>AF58*(('Green+Social Interface'!$Z$62*'Green+Social Interface'!$Z$65)*(1+0.0255+$C$70)^(AF3-1))</f>
        <v>0</v>
      </c>
      <c r="AG59" s="64">
        <f>AG58*(('Green+Social Interface'!$Z$62*'Green+Social Interface'!$Z$65)*(1+0.0255+$C$70)^(AG3-1))</f>
        <v>0</v>
      </c>
      <c r="AH59" s="64">
        <f>AH58*(('Green+Social Interface'!$Z$62*'Green+Social Interface'!$Z$65)*(1+0.0255+$C$70)^(AH3-1))</f>
        <v>0</v>
      </c>
      <c r="AI59" s="64">
        <f>AI58*(('Green+Social Interface'!$Z$62*'Green+Social Interface'!$Z$65)*(1+0.0255+$C$70)^(AI3-1))</f>
        <v>0</v>
      </c>
      <c r="AJ59" s="64">
        <f>AJ58*(('Green+Social Interface'!$Z$62*'Green+Social Interface'!$Z$65)*(1+0.0255+$C$70)^(AJ3-1))</f>
        <v>0</v>
      </c>
      <c r="AK59" s="64">
        <f>AK58*(('Green+Social Interface'!$Z$62*'Green+Social Interface'!$Z$65)*(1+0.0255+$C$70)^(AK3-1))</f>
        <v>0</v>
      </c>
      <c r="AL59" s="64">
        <f>AL58*(('Green+Social Interface'!$Z$62*'Green+Social Interface'!$Z$65)*(1+0.0255+$C$70)^(AL3-1))</f>
        <v>0</v>
      </c>
      <c r="AM59" s="64">
        <f>AM58*(('Green+Social Interface'!$Z$62*'Green+Social Interface'!$Z$65)*(1+0.0255+$C$70)^(AM3-1))</f>
        <v>0</v>
      </c>
      <c r="AN59" s="64">
        <f>AN58*(('Green+Social Interface'!$Z$62*'Green+Social Interface'!$Z$65)*(1+0.0255+$C$70)^(AN3-1))</f>
        <v>0</v>
      </c>
      <c r="AO59" s="64">
        <f>AO58*(('Green+Social Interface'!$Z$62*'Green+Social Interface'!$Z$65)*(1+0.0255+$C$70)^(AO3-1))</f>
        <v>0</v>
      </c>
      <c r="AP59" s="64">
        <f>AP58*(('Green+Social Interface'!$Z$62*'Green+Social Interface'!$Z$65)*(1+0.0255+$C$70)^(AP3-1))</f>
        <v>0</v>
      </c>
      <c r="AQ59" s="64">
        <f>AQ58*(('Green+Social Interface'!$Z$62*'Green+Social Interface'!$Z$65)*(1+0.0255+$C$70)^(AQ3-1))</f>
        <v>0</v>
      </c>
      <c r="AR59" s="64">
        <f>AR58*(('Green+Social Interface'!$Z$62*'Green+Social Interface'!$Z$65)*(1+0.0255+$C$70)^(AR3-1))</f>
        <v>0</v>
      </c>
      <c r="AS59" s="64">
        <f>AS58*(('Green+Social Interface'!$Z$62*'Green+Social Interface'!$Z$65)*(1+0.0255+$C$70)^(AS3-1))</f>
        <v>0</v>
      </c>
      <c r="AT59" s="64">
        <f>AT58*(('Green+Social Interface'!$Z$62*'Green+Social Interface'!$Z$65)*(1+0.0255+$C$70)^(AT3-1))</f>
        <v>0</v>
      </c>
      <c r="AU59" s="64">
        <f>AU58*(('Green+Social Interface'!$Z$62*'Green+Social Interface'!$Z$65)*(1+0.0255+$C$70)^(AU3-1))</f>
        <v>0</v>
      </c>
      <c r="AV59" s="64">
        <f>AV58*(('Green+Social Interface'!$Z$62*'Green+Social Interface'!$Z$65)*(1+0.0255+$C$70)^(AV3-1))</f>
        <v>0</v>
      </c>
      <c r="AW59" s="64">
        <f>AW58*(('Green+Social Interface'!$Z$62*'Green+Social Interface'!$Z$65)*(1+0.0255+$C$70)^(AW3-1))</f>
        <v>0</v>
      </c>
      <c r="AX59" s="64">
        <f>AX58*(('Green+Social Interface'!$Z$62*'Green+Social Interface'!$Z$65)*(1+0.0255+$C$70)^(AX3-1))</f>
        <v>0</v>
      </c>
      <c r="AY59" s="64">
        <f>AY58*(('Green+Social Interface'!$Z$62*'Green+Social Interface'!$Z$65)*(1+0.0255+$C$70)^(AY3-1))</f>
        <v>0</v>
      </c>
      <c r="AZ59" s="64">
        <f>AZ58*(('Green+Social Interface'!$Z$62*'Green+Social Interface'!$Z$65)*(1+0.0255+$C$70)^(AZ3-1))</f>
        <v>0</v>
      </c>
    </row>
    <row r="60" spans="2:52" x14ac:dyDescent="0.25">
      <c r="B60" s="57" t="s">
        <v>1124</v>
      </c>
      <c r="C60" s="57" t="s">
        <v>1074</v>
      </c>
      <c r="D60" s="58" t="s">
        <v>66</v>
      </c>
      <c r="E60" s="58"/>
      <c r="F60" s="59"/>
      <c r="G60" s="60"/>
      <c r="H60" s="61"/>
      <c r="I60" s="62"/>
      <c r="J60" s="470">
        <f>IF(AND(K60&gt;0,$C$67&gt;0),K60/$C$67,0)</f>
        <v>0</v>
      </c>
      <c r="K60" s="63">
        <f t="shared" ref="K60" si="42">AVERAGE(M60:AZ60)</f>
        <v>0</v>
      </c>
      <c r="L60" s="63">
        <f t="shared" ref="L60" si="43">SUM(M60:AZ60)</f>
        <v>0</v>
      </c>
      <c r="M60" s="65">
        <f>M58*(('Green+Social Interface'!$Z$62*'Green+Social Interface'!$Z$65)*(1+0.0255))</f>
        <v>0</v>
      </c>
      <c r="N60" s="64">
        <f>N58*(('Green+Social Interface'!$Z$62*'Green+Social Interface'!$Z$65)*(1+0.0255)^(N$3-1))</f>
        <v>0</v>
      </c>
      <c r="O60" s="64">
        <f>O58*(('Green+Social Interface'!$Z$62*'Green+Social Interface'!$Z$65)*(1+0.0255)^(O$3-1))</f>
        <v>0</v>
      </c>
      <c r="P60" s="64">
        <f>P58*(('Green+Social Interface'!$Z$62*'Green+Social Interface'!$Z$65)*(1+0.0255)^(P$3-1))</f>
        <v>0</v>
      </c>
      <c r="Q60" s="64">
        <f>Q58*(('Green+Social Interface'!$Z$62*'Green+Social Interface'!$Z$65)*(1+0.0255)^(Q$3-1))</f>
        <v>0</v>
      </c>
      <c r="R60" s="64">
        <f>R58*(('Green+Social Interface'!$Z$62*'Green+Social Interface'!$Z$65)*(1+0.0255)^(R$3-1))</f>
        <v>0</v>
      </c>
      <c r="S60" s="64">
        <f>S58*(('Green+Social Interface'!$Z$62*'Green+Social Interface'!$Z$65)*(1+0.0255)^(S$3-1))</f>
        <v>0</v>
      </c>
      <c r="T60" s="64">
        <f>T58*(('Green+Social Interface'!$Z$62*'Green+Social Interface'!$Z$65)*(1+0.0255)^(T$3-1))</f>
        <v>0</v>
      </c>
      <c r="U60" s="64">
        <f>U58*(('Green+Social Interface'!$Z$62*'Green+Social Interface'!$Z$65)*(1+0.0255)^(U$3-1))</f>
        <v>0</v>
      </c>
      <c r="V60" s="64">
        <f>V58*(('Green+Social Interface'!$Z$62*'Green+Social Interface'!$Z$65)*(1+0.0255)^(V$3-1))</f>
        <v>0</v>
      </c>
      <c r="W60" s="64">
        <f>W58*(('Green+Social Interface'!$Z$62*'Green+Social Interface'!$Z$65)*(1+0.0255)^(W$3-1))</f>
        <v>0</v>
      </c>
      <c r="X60" s="64">
        <f>X58*(('Green+Social Interface'!$Z$62*'Green+Social Interface'!$Z$65)*(1+0.0255)^(X$3-1))</f>
        <v>0</v>
      </c>
      <c r="Y60" s="64">
        <f>Y58*(('Green+Social Interface'!$Z$62*'Green+Social Interface'!$Z$65)*(1+0.0255)^(Y$3-1))</f>
        <v>0</v>
      </c>
      <c r="Z60" s="64">
        <f>Z58*(('Green+Social Interface'!$Z$62*'Green+Social Interface'!$Z$65)*(1+0.0255)^(Z$3-1))</f>
        <v>0</v>
      </c>
      <c r="AA60" s="64">
        <f>AA58*(('Green+Social Interface'!$Z$62*'Green+Social Interface'!$Z$65)*(1+0.0255)^(AA$3-1))</f>
        <v>0</v>
      </c>
      <c r="AB60" s="64">
        <f>AB58*(('Green+Social Interface'!$Z$62*'Green+Social Interface'!$Z$65)*(1+0.0255)^(AB$3-1))</f>
        <v>0</v>
      </c>
      <c r="AC60" s="64">
        <f>AC58*(('Green+Social Interface'!$Z$62*'Green+Social Interface'!$Z$65)*(1+0.0255)^(AC$3-1))</f>
        <v>0</v>
      </c>
      <c r="AD60" s="64">
        <f>AD58*(('Green+Social Interface'!$Z$62*'Green+Social Interface'!$Z$65)*(1+0.0255)^(AD$3-1))</f>
        <v>0</v>
      </c>
      <c r="AE60" s="64">
        <f>AE58*(('Green+Social Interface'!$Z$62*'Green+Social Interface'!$Z$65)*(1+0.0255)^(AE$3-1))</f>
        <v>0</v>
      </c>
      <c r="AF60" s="64">
        <f>AF58*(('Green+Social Interface'!$Z$62*'Green+Social Interface'!$Z$65)*(1+0.0255)^(AF$3-1))</f>
        <v>0</v>
      </c>
      <c r="AG60" s="64">
        <f>AG58*(('Green+Social Interface'!$Z$62*'Green+Social Interface'!$Z$65)*(1+0.0255)^(AG$3-1))</f>
        <v>0</v>
      </c>
      <c r="AH60" s="64">
        <f>AH58*(('Green+Social Interface'!$Z$62*'Green+Social Interface'!$Z$65)*(1+0.0255)^(AH$3-1))</f>
        <v>0</v>
      </c>
      <c r="AI60" s="64">
        <f>AI58*(('Green+Social Interface'!$Z$62*'Green+Social Interface'!$Z$65)*(1+0.0255)^(AI$3-1))</f>
        <v>0</v>
      </c>
      <c r="AJ60" s="64">
        <f>AJ58*(('Green+Social Interface'!$Z$62*'Green+Social Interface'!$Z$65)*(1+0.0255)^(AJ$3-1))</f>
        <v>0</v>
      </c>
      <c r="AK60" s="64">
        <f>AK58*(('Green+Social Interface'!$Z$62*'Green+Social Interface'!$Z$65)*(1+0.0255)^(AK$3-1))</f>
        <v>0</v>
      </c>
      <c r="AL60" s="64">
        <f>AL58*(('Green+Social Interface'!$Z$62*'Green+Social Interface'!$Z$65)*(1+0.0255)^(AL$3-1))</f>
        <v>0</v>
      </c>
      <c r="AM60" s="64">
        <f>AM58*(('Green+Social Interface'!$Z$62*'Green+Social Interface'!$Z$65)*(1+0.0255)^(AM$3-1))</f>
        <v>0</v>
      </c>
      <c r="AN60" s="64">
        <f>AN58*(('Green+Social Interface'!$Z$62*'Green+Social Interface'!$Z$65)*(1+0.0255)^(AN$3-1))</f>
        <v>0</v>
      </c>
      <c r="AO60" s="64">
        <f>AO58*(('Green+Social Interface'!$Z$62*'Green+Social Interface'!$Z$65)*(1+0.0255)^(AO$3-1))</f>
        <v>0</v>
      </c>
      <c r="AP60" s="64">
        <f>AP58*(('Green+Social Interface'!$Z$62*'Green+Social Interface'!$Z$65)*(1+0.0255)^(AP$3-1))</f>
        <v>0</v>
      </c>
      <c r="AQ60" s="64">
        <f>AQ58*(('Green+Social Interface'!$Z$62*'Green+Social Interface'!$Z$65)*(1+0.0255)^(AQ$3-1))</f>
        <v>0</v>
      </c>
      <c r="AR60" s="64">
        <f>AR58*(('Green+Social Interface'!$Z$62*'Green+Social Interface'!$Z$65)*(1+0.0255)^(AR$3-1))</f>
        <v>0</v>
      </c>
      <c r="AS60" s="64">
        <f>AS58*(('Green+Social Interface'!$Z$62*'Green+Social Interface'!$Z$65)*(1+0.0255)^(AS$3-1))</f>
        <v>0</v>
      </c>
      <c r="AT60" s="64">
        <f>AT58*(('Green+Social Interface'!$Z$62*'Green+Social Interface'!$Z$65)*(1+0.0255)^(AT$3-1))</f>
        <v>0</v>
      </c>
      <c r="AU60" s="64">
        <f>AU58*(('Green+Social Interface'!$Z$62*'Green+Social Interface'!$Z$65)*(1+0.0255)^(AU$3-1))</f>
        <v>0</v>
      </c>
      <c r="AV60" s="64">
        <f>AV58*(('Green+Social Interface'!$Z$62*'Green+Social Interface'!$Z$65)*(1+0.0255)^(AV$3-1))</f>
        <v>0</v>
      </c>
      <c r="AW60" s="64">
        <f>AW58*(('Green+Social Interface'!$Z$62*'Green+Social Interface'!$Z$65)*(1+0.0255)^(AW$3-1))</f>
        <v>0</v>
      </c>
      <c r="AX60" s="64">
        <f>AX58*(('Green+Social Interface'!$Z$62*'Green+Social Interface'!$Z$65)*(1+0.0255)^(AX$3-1))</f>
        <v>0</v>
      </c>
      <c r="AY60" s="64">
        <f>AY58*(('Green+Social Interface'!$Z$62*'Green+Social Interface'!$Z$65)*(1+0.0255)^(AY$3-1))</f>
        <v>0</v>
      </c>
      <c r="AZ60" s="64">
        <f>AZ58*(('Green+Social Interface'!$Z$62*'Green+Social Interface'!$Z$65)*(1+0.0255)^(AZ$3-1))</f>
        <v>0</v>
      </c>
    </row>
    <row r="61" spans="2:52" x14ac:dyDescent="0.25">
      <c r="B61" s="24"/>
      <c r="C61" s="25"/>
      <c r="D61" s="25"/>
      <c r="E61" s="26"/>
      <c r="F61" s="27"/>
      <c r="G61" s="20"/>
      <c r="H61" s="21"/>
      <c r="I61" s="22"/>
      <c r="J61" s="32"/>
      <c r="K61" s="32"/>
      <c r="L61" s="152"/>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row>
    <row r="62" spans="2:52" x14ac:dyDescent="0.25">
      <c r="B62" s="41" t="s">
        <v>946</v>
      </c>
      <c r="C62" s="42"/>
      <c r="D62" s="42"/>
      <c r="E62" s="43"/>
      <c r="F62" s="44"/>
      <c r="G62" s="45"/>
      <c r="H62" s="46"/>
      <c r="I62" s="3"/>
      <c r="J62" s="163"/>
      <c r="K62" s="163"/>
      <c r="L62" s="48"/>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8"/>
    </row>
    <row r="63" spans="2:52" x14ac:dyDescent="0.25">
      <c r="B63" s="57" t="s">
        <v>947</v>
      </c>
      <c r="C63" s="58"/>
      <c r="D63" s="58"/>
      <c r="E63" s="59"/>
      <c r="F63" s="60"/>
      <c r="G63" s="61"/>
      <c r="H63" s="62"/>
      <c r="I63" s="2"/>
      <c r="J63" s="63">
        <f>IF(AND(K63&gt;0,$C$67&gt;0),K63/$C$67,0)</f>
        <v>0</v>
      </c>
      <c r="K63" s="63">
        <f t="shared" ref="K63" si="44">AVERAGE(M63:AZ63)</f>
        <v>0</v>
      </c>
      <c r="L63" s="65">
        <f>SUM(M63:AZ63)</f>
        <v>0</v>
      </c>
      <c r="M63" s="64">
        <f>M27+'Green Infrastructure'!M47</f>
        <v>0</v>
      </c>
      <c r="N63" s="64">
        <f>N27+'Green Infrastructure'!N47</f>
        <v>0</v>
      </c>
      <c r="O63" s="64">
        <f>O27+'Green Infrastructure'!O47</f>
        <v>0</v>
      </c>
      <c r="P63" s="64">
        <f>P27+'Green Infrastructure'!P47</f>
        <v>0</v>
      </c>
      <c r="Q63" s="64">
        <f>Q27+'Green Infrastructure'!Q47</f>
        <v>0</v>
      </c>
      <c r="R63" s="64">
        <f>R27+'Green Infrastructure'!R47</f>
        <v>0</v>
      </c>
      <c r="S63" s="64">
        <f>S27+'Green Infrastructure'!S47</f>
        <v>0</v>
      </c>
      <c r="T63" s="64">
        <f>T27+'Green Infrastructure'!T47</f>
        <v>0</v>
      </c>
      <c r="U63" s="64">
        <f>U27+'Green Infrastructure'!U47</f>
        <v>0</v>
      </c>
      <c r="V63" s="64">
        <f>V27+'Green Infrastructure'!V47</f>
        <v>0</v>
      </c>
      <c r="W63" s="64">
        <f>W27+'Green Infrastructure'!W47</f>
        <v>0</v>
      </c>
      <c r="X63" s="64">
        <f>X27+'Green Infrastructure'!X47</f>
        <v>0</v>
      </c>
      <c r="Y63" s="64">
        <f>Y27+'Green Infrastructure'!Y47</f>
        <v>0</v>
      </c>
      <c r="Z63" s="64">
        <f>Z27+'Green Infrastructure'!Z47</f>
        <v>0</v>
      </c>
      <c r="AA63" s="64">
        <f>AA27+'Green Infrastructure'!AA47</f>
        <v>0</v>
      </c>
      <c r="AB63" s="64">
        <f>AB27+'Green Infrastructure'!AB47</f>
        <v>0</v>
      </c>
      <c r="AC63" s="64">
        <f>AC27+'Green Infrastructure'!AC47</f>
        <v>0</v>
      </c>
      <c r="AD63" s="64">
        <f>AD27+'Green Infrastructure'!AD47</f>
        <v>0</v>
      </c>
      <c r="AE63" s="64">
        <f>AE27+'Green Infrastructure'!AE47</f>
        <v>0</v>
      </c>
      <c r="AF63" s="64">
        <f>AF27+'Green Infrastructure'!AF47</f>
        <v>0</v>
      </c>
      <c r="AG63" s="64">
        <f>AG27+'Green Infrastructure'!AG47</f>
        <v>0</v>
      </c>
      <c r="AH63" s="64">
        <f>AH27+'Green Infrastructure'!AH47</f>
        <v>0</v>
      </c>
      <c r="AI63" s="64">
        <f>AI27+'Green Infrastructure'!AI47</f>
        <v>0</v>
      </c>
      <c r="AJ63" s="64">
        <f>AJ27+'Green Infrastructure'!AJ47</f>
        <v>0</v>
      </c>
      <c r="AK63" s="64">
        <f>AK27+'Green Infrastructure'!AK47</f>
        <v>0</v>
      </c>
      <c r="AL63" s="64">
        <f>AL27+'Green Infrastructure'!AL47</f>
        <v>0</v>
      </c>
      <c r="AM63" s="64">
        <f>AM27+'Green Infrastructure'!AM47</f>
        <v>0</v>
      </c>
      <c r="AN63" s="64">
        <f>AN27+'Green Infrastructure'!AN47</f>
        <v>0</v>
      </c>
      <c r="AO63" s="64">
        <f>AO27+'Green Infrastructure'!AO47</f>
        <v>0</v>
      </c>
      <c r="AP63" s="64">
        <f>AP27+'Green Infrastructure'!AP47</f>
        <v>0</v>
      </c>
      <c r="AQ63" s="64">
        <f>AQ27+'Green Infrastructure'!AQ47</f>
        <v>0</v>
      </c>
      <c r="AR63" s="64">
        <f>AR27+'Green Infrastructure'!AR47</f>
        <v>0</v>
      </c>
      <c r="AS63" s="64">
        <f>AS27+'Green Infrastructure'!AS47</f>
        <v>0</v>
      </c>
      <c r="AT63" s="64">
        <f>AT27+'Green Infrastructure'!AT47</f>
        <v>0</v>
      </c>
      <c r="AU63" s="64">
        <f>AU27+'Green Infrastructure'!AU47</f>
        <v>0</v>
      </c>
      <c r="AV63" s="64">
        <f>AV27+'Green Infrastructure'!AV47</f>
        <v>0</v>
      </c>
      <c r="AW63" s="64">
        <f>AW27+'Green Infrastructure'!AW47</f>
        <v>0</v>
      </c>
      <c r="AX63" s="64">
        <f>AX27+'Green Infrastructure'!AX47</f>
        <v>0</v>
      </c>
      <c r="AY63" s="64">
        <f>AY27+'Green Infrastructure'!AY47</f>
        <v>0</v>
      </c>
      <c r="AZ63" s="64">
        <f>AZ27+'Green Infrastructure'!AZ47</f>
        <v>0</v>
      </c>
    </row>
    <row r="64" spans="2:52" ht="4.5" customHeight="1" x14ac:dyDescent="0.25">
      <c r="B64" s="72"/>
      <c r="C64" s="10"/>
      <c r="D64" s="10"/>
      <c r="E64" s="10"/>
      <c r="F64" s="10"/>
      <c r="G64" s="10"/>
      <c r="H64" s="73"/>
      <c r="I64" s="10"/>
      <c r="J64" s="164"/>
      <c r="K64" s="164"/>
      <c r="L64" s="155"/>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row>
    <row r="65" spans="2:12" x14ac:dyDescent="0.25">
      <c r="B65" s="10"/>
      <c r="C65" s="10"/>
      <c r="D65" s="10"/>
      <c r="E65" s="10"/>
      <c r="F65" s="10"/>
      <c r="G65" s="10"/>
      <c r="H65" s="10"/>
      <c r="I65" s="10"/>
      <c r="J65" s="10"/>
      <c r="K65" s="10"/>
      <c r="L65" s="142"/>
    </row>
    <row r="66" spans="2:12" x14ac:dyDescent="0.25">
      <c r="B66" s="10" t="s">
        <v>254</v>
      </c>
      <c r="C66" s="10"/>
      <c r="D66" s="10"/>
      <c r="E66" s="10"/>
      <c r="F66" s="10"/>
      <c r="G66" s="10"/>
      <c r="H66" s="10"/>
      <c r="I66" s="10"/>
      <c r="J66" s="10"/>
      <c r="K66" s="10"/>
      <c r="L66" s="142"/>
    </row>
    <row r="67" spans="2:12" x14ac:dyDescent="0.25">
      <c r="B67" t="s">
        <v>934</v>
      </c>
      <c r="C67">
        <f>SUM('Green+Social Interface'!D18:D22,'Green+Social Interface'!I18:I22,'Green+Social Interface'!O18:O22,'Green+Social Interface'!T18:T22)</f>
        <v>0</v>
      </c>
      <c r="D67" s="10"/>
      <c r="E67" s="10"/>
      <c r="F67" s="10"/>
      <c r="G67" s="10"/>
      <c r="H67" s="10"/>
      <c r="I67" s="10"/>
      <c r="J67" s="10"/>
      <c r="K67" s="10"/>
      <c r="L67" s="142"/>
    </row>
    <row r="68" spans="2:12" x14ac:dyDescent="0.25">
      <c r="B68" t="s">
        <v>935</v>
      </c>
      <c r="C68" s="107">
        <f>SUM($E$6:$E$25)</f>
        <v>0</v>
      </c>
      <c r="D68" s="10"/>
      <c r="E68" s="10"/>
      <c r="F68" s="10"/>
      <c r="G68" s="10"/>
      <c r="H68" s="10"/>
      <c r="I68" s="10"/>
      <c r="J68" s="10"/>
      <c r="K68" s="10"/>
      <c r="L68" s="142"/>
    </row>
    <row r="69" spans="2:12" x14ac:dyDescent="0.25">
      <c r="B69" t="s">
        <v>938</v>
      </c>
      <c r="C69" s="107" t="e">
        <f>C68/C67</f>
        <v>#DIV/0!</v>
      </c>
      <c r="D69" s="10"/>
      <c r="E69" s="10"/>
      <c r="F69" s="10"/>
      <c r="G69" s="10"/>
      <c r="H69" s="10"/>
      <c r="I69" s="10"/>
      <c r="J69" s="10"/>
      <c r="K69" s="10"/>
      <c r="L69" s="142"/>
    </row>
    <row r="70" spans="2:12" x14ac:dyDescent="0.25">
      <c r="B70" t="s">
        <v>937</v>
      </c>
      <c r="C70" s="22">
        <f>'Green+Social Interface'!I35</f>
        <v>0</v>
      </c>
      <c r="D70" s="10"/>
      <c r="E70" s="10"/>
      <c r="F70" s="10"/>
      <c r="G70" s="10"/>
      <c r="H70" s="10"/>
      <c r="I70" s="10"/>
      <c r="J70" s="10"/>
      <c r="K70" s="10"/>
      <c r="L70" s="142"/>
    </row>
    <row r="71" spans="2:12" x14ac:dyDescent="0.25">
      <c r="B71" s="10"/>
      <c r="C71" s="10"/>
      <c r="D71" s="10"/>
      <c r="E71" s="10"/>
      <c r="F71" s="10"/>
      <c r="G71" s="10"/>
      <c r="H71" s="10"/>
      <c r="I71" s="10"/>
      <c r="J71" s="10"/>
      <c r="K71" s="10"/>
      <c r="L71" s="142"/>
    </row>
    <row r="72" spans="2:12" x14ac:dyDescent="0.25">
      <c r="B72" s="10"/>
      <c r="C72" s="10"/>
      <c r="D72" s="10"/>
      <c r="E72" s="10"/>
      <c r="F72" s="10"/>
      <c r="G72" s="10"/>
      <c r="H72" s="10"/>
      <c r="I72" s="10"/>
      <c r="J72" s="10"/>
      <c r="K72" s="10"/>
      <c r="L72" s="142"/>
    </row>
    <row r="74" spans="2:12" x14ac:dyDescent="0.25">
      <c r="B74" t="s">
        <v>912</v>
      </c>
      <c r="D74" t="s">
        <v>913</v>
      </c>
      <c r="G74" t="s">
        <v>914</v>
      </c>
    </row>
    <row r="75" spans="2:12" x14ac:dyDescent="0.25">
      <c r="B75" t="s">
        <v>917</v>
      </c>
      <c r="C75" t="s">
        <v>23</v>
      </c>
      <c r="D75">
        <f>VLOOKUP('Green+Social Interface'!$D$39,'Look-ups_2'!$B$4:$AU$113,42,FALSE)</f>
        <v>2.2883544896042096</v>
      </c>
      <c r="G75" s="469">
        <f>VLOOKUP('Green+Social Interface'!$D$38,'Look-ups'!$A$123:$H$130,8,FALSE)</f>
        <v>0.32</v>
      </c>
    </row>
    <row r="76" spans="2:12" x14ac:dyDescent="0.25">
      <c r="B76" t="s">
        <v>924</v>
      </c>
      <c r="C76" t="s">
        <v>23</v>
      </c>
      <c r="D76">
        <f>VLOOKUP('Green+Social Interface'!$D$39,'Look-ups_2'!$B$4:$AU$113,46,FALSE)</f>
        <v>1.8192861904142035</v>
      </c>
    </row>
    <row r="78" spans="2:12" x14ac:dyDescent="0.25">
      <c r="D78" t="s">
        <v>915</v>
      </c>
      <c r="E78" t="s">
        <v>884</v>
      </c>
      <c r="F78" t="s">
        <v>913</v>
      </c>
      <c r="G78" t="s">
        <v>916</v>
      </c>
      <c r="I78" s="345" t="s">
        <v>998</v>
      </c>
    </row>
    <row r="79" spans="2:12" x14ac:dyDescent="0.25">
      <c r="B79" t="s">
        <v>918</v>
      </c>
      <c r="C79" t="s">
        <v>919</v>
      </c>
      <c r="D79">
        <f>VLOOKUP(VLOOKUP('Green+Social Interface'!$D$39,'Look-ups_2'!$B$4:$AC$113,28,FALSE),'Look-ups'!$A$50:$AO$118,IF('Green+Social Interface'!$D$25&lt;&gt;"",'Green+Social Interface'!$D$25*4,7*4),FALSE)*0.277778</f>
        <v>5.2983667391535887</v>
      </c>
      <c r="E79">
        <f>VLOOKUP(IF('Green+Social Interface'!$D$27&lt;&gt;"",'Green+Social Interface'!$D$27,5),'Look-ups'!$A$144:$B$164,2,FALSE)</f>
        <v>4.75</v>
      </c>
      <c r="F79">
        <f>D79/E79*G$75</f>
        <v>0.35694260137455758</v>
      </c>
      <c r="G79">
        <f>SUM(F79:F80)</f>
        <v>0.729825145263158</v>
      </c>
      <c r="I79" s="345">
        <f>D$75-G79</f>
        <v>1.5585293443410517</v>
      </c>
    </row>
    <row r="80" spans="2:12" x14ac:dyDescent="0.25">
      <c r="B80" t="s">
        <v>921</v>
      </c>
      <c r="C80" t="s">
        <v>920</v>
      </c>
      <c r="D80">
        <f>VLOOKUP(VLOOKUP('Green+Social Interface'!$D$39,'Look-ups_2'!$B$4:$AC$113,28,FALSE),'Look-ups'!$A$50:$AO$118,IF('Green+Social Interface'!$D$25&lt;&gt;"",'Green+Social Interface'!$D$25*4+1,7*4+1),FALSE)*0.277778</f>
        <v>5.5349752608464122</v>
      </c>
      <c r="E80">
        <f>VLOOKUP(IF('Green+Social Interface'!$D$26&lt;&gt;"",'Green+Social Interface'!$D$26,5),'Look-ups'!$A$144:$B$164,2,FALSE)</f>
        <v>4.75</v>
      </c>
      <c r="F80">
        <f>D80/E80*G$75</f>
        <v>0.37288254388860043</v>
      </c>
    </row>
    <row r="81" spans="2:11" x14ac:dyDescent="0.25">
      <c r="C81" t="s">
        <v>925</v>
      </c>
      <c r="D81">
        <f>(D79/E79+D80/E80)*VLOOKUP('Green+Social Interface'!$D$38,'Look-ups'!$A$123:$M$130,13,FALSE)</f>
        <v>0.5870531012210527</v>
      </c>
      <c r="I81">
        <f>D81*30</f>
        <v>17.611593036631582</v>
      </c>
      <c r="J81">
        <f>I81/1000</f>
        <v>1.7611593036631581E-2</v>
      </c>
      <c r="K81">
        <f>J81*100</f>
        <v>1.7611593036631581</v>
      </c>
    </row>
    <row r="82" spans="2:11" x14ac:dyDescent="0.25">
      <c r="C82" s="345" t="s">
        <v>997</v>
      </c>
      <c r="D82" s="345">
        <f>D$76-D81</f>
        <v>1.2322330891931508</v>
      </c>
    </row>
    <row r="83" spans="2:11" x14ac:dyDescent="0.25">
      <c r="D83" t="s">
        <v>915</v>
      </c>
      <c r="E83" t="s">
        <v>884</v>
      </c>
      <c r="F83" t="s">
        <v>913</v>
      </c>
      <c r="G83" t="s">
        <v>916</v>
      </c>
      <c r="I83" s="345" t="s">
        <v>998</v>
      </c>
    </row>
    <row r="84" spans="2:11" x14ac:dyDescent="0.25">
      <c r="B84" t="s">
        <v>918</v>
      </c>
      <c r="C84" t="s">
        <v>919</v>
      </c>
      <c r="D84">
        <f>VLOOKUP(VLOOKUP('Green+Social Interface'!$D$39,'Look-ups_2'!$B$4:$AC$113,28,FALSE),'Look-ups'!$A$50:$AO$118,IF('Green+Social Interface'!$I$25&lt;&gt;"",'Green+Social Interface'!$I$25*4,7*4),FALSE)*0.277778</f>
        <v>5.2983667391535887</v>
      </c>
      <c r="E84">
        <f>VLOOKUP(IF('Green+Social Interface'!$I$27&lt;&gt;"",'Green+Social Interface'!$I$27,5),'Look-ups'!$A$144:$B$164,2,FALSE)</f>
        <v>4.75</v>
      </c>
      <c r="F84">
        <f>D84/E84*G$75</f>
        <v>0.35694260137455758</v>
      </c>
      <c r="G84">
        <f>SUM(F84:F85)</f>
        <v>0.729825145263158</v>
      </c>
      <c r="I84" s="345">
        <f>D$75-G84</f>
        <v>1.5585293443410517</v>
      </c>
    </row>
    <row r="85" spans="2:11" x14ac:dyDescent="0.25">
      <c r="B85" t="s">
        <v>922</v>
      </c>
      <c r="C85" t="s">
        <v>920</v>
      </c>
      <c r="D85">
        <f>VLOOKUP(VLOOKUP('Green+Social Interface'!$D$39,'Look-ups_2'!$B$4:$AC$113,28,FALSE),'Look-ups'!$A$50:$AO$118,IF('Green+Social Interface'!$I$25&lt;&gt;"",'Green+Social Interface'!$I$25*4+1,7*4+1),FALSE)*0.277778</f>
        <v>5.5349752608464122</v>
      </c>
      <c r="E85">
        <f>VLOOKUP(IF('Green+Social Interface'!$I$26&lt;&gt;"",'Green+Social Interface'!$I$26,5),'Look-ups'!$A$144:$B$164,2,FALSE)</f>
        <v>4.75</v>
      </c>
      <c r="F85">
        <f>D85/E85*G$75</f>
        <v>0.37288254388860043</v>
      </c>
    </row>
    <row r="86" spans="2:11" x14ac:dyDescent="0.25">
      <c r="C86" t="s">
        <v>925</v>
      </c>
      <c r="D86">
        <f>(D84/E84+D85/E85)*VLOOKUP('Green+Social Interface'!$D$38,'Look-ups'!$A$123:$M$130,13,FALSE)</f>
        <v>0.5870531012210527</v>
      </c>
    </row>
    <row r="87" spans="2:11" x14ac:dyDescent="0.25">
      <c r="C87" s="345" t="s">
        <v>997</v>
      </c>
      <c r="D87" s="345">
        <f>D$76-D86</f>
        <v>1.2322330891931508</v>
      </c>
    </row>
    <row r="88" spans="2:11" x14ac:dyDescent="0.25">
      <c r="D88" t="s">
        <v>915</v>
      </c>
      <c r="E88" t="s">
        <v>884</v>
      </c>
      <c r="F88" t="s">
        <v>913</v>
      </c>
      <c r="G88" t="s">
        <v>916</v>
      </c>
      <c r="I88" s="345" t="s">
        <v>998</v>
      </c>
    </row>
    <row r="89" spans="2:11" x14ac:dyDescent="0.25">
      <c r="B89" t="s">
        <v>923</v>
      </c>
      <c r="C89" t="s">
        <v>919</v>
      </c>
      <c r="D89">
        <f>VLOOKUP(VLOOKUP('Green+Social Interface'!$D$39,'Look-ups_2'!$B$4:$AC$113,28,FALSE),'Look-ups'!$A$50:$AO$118,IF('Green+Social Interface'!$O$25&lt;&gt;"",'Green+Social Interface'!$O$25*4,7*4),FALSE)*0.277778</f>
        <v>5.2983667391535887</v>
      </c>
      <c r="E89">
        <f>VLOOKUP(IF('Green+Social Interface'!$O$27&lt;&gt;"",'Green+Social Interface'!$O$27,5),'Look-ups'!$A$144:$B$164,2,FALSE)</f>
        <v>4.75</v>
      </c>
      <c r="F89">
        <f>D89/E89*G$75</f>
        <v>0.35694260137455758</v>
      </c>
      <c r="G89">
        <f>SUM(F89:F90)</f>
        <v>0.729825145263158</v>
      </c>
      <c r="I89" s="345">
        <f>D$75-G89</f>
        <v>1.5585293443410517</v>
      </c>
    </row>
    <row r="90" spans="2:11" x14ac:dyDescent="0.25">
      <c r="B90" t="s">
        <v>921</v>
      </c>
      <c r="C90" t="s">
        <v>920</v>
      </c>
      <c r="D90">
        <f>VLOOKUP(VLOOKUP('Green+Social Interface'!$D$39,'Look-ups_2'!$B$4:$AC$113,28,FALSE),'Look-ups'!$A$50:$AO$118,IF('Green+Social Interface'!$O$25&lt;&gt;"",'Green+Social Interface'!$O$25*4+1,7*4+1),FALSE)*0.277778</f>
        <v>5.5349752608464122</v>
      </c>
      <c r="E90">
        <f>VLOOKUP(IF('Green+Social Interface'!$O$26&lt;&gt;"",'Green+Social Interface'!$O$26,5),'Look-ups'!$A$144:$B$164,2,FALSE)</f>
        <v>4.75</v>
      </c>
      <c r="F90">
        <f>D90/E90*G$75</f>
        <v>0.37288254388860043</v>
      </c>
    </row>
    <row r="91" spans="2:11" x14ac:dyDescent="0.25">
      <c r="C91" t="s">
        <v>925</v>
      </c>
      <c r="D91">
        <f>(D89/E89+D90/E90)*VLOOKUP('Green+Social Interface'!$D$38,'Look-ups'!$A$123:$M$130,13,FALSE)</f>
        <v>0.5870531012210527</v>
      </c>
    </row>
    <row r="92" spans="2:11" x14ac:dyDescent="0.25">
      <c r="C92" s="345" t="s">
        <v>997</v>
      </c>
      <c r="D92" s="345">
        <f>D$76-D91</f>
        <v>1.2322330891931508</v>
      </c>
    </row>
    <row r="93" spans="2:11" x14ac:dyDescent="0.25">
      <c r="D93" t="s">
        <v>915</v>
      </c>
      <c r="E93" t="s">
        <v>884</v>
      </c>
      <c r="F93" t="s">
        <v>913</v>
      </c>
      <c r="G93" t="s">
        <v>916</v>
      </c>
      <c r="I93" s="345" t="s">
        <v>998</v>
      </c>
    </row>
    <row r="94" spans="2:11" x14ac:dyDescent="0.25">
      <c r="B94" t="s">
        <v>923</v>
      </c>
      <c r="C94" t="s">
        <v>919</v>
      </c>
      <c r="D94">
        <f>VLOOKUP(VLOOKUP('Green+Social Interface'!$D$39,'Look-ups_2'!$B$4:$AC$113,28,FALSE),'Look-ups'!$A$50:$AO$118,IF('Green+Social Interface'!$T$25&lt;&gt;"",'Green+Social Interface'!$T$25*4,7*4),FALSE)*0.277778</f>
        <v>5.2983667391535887</v>
      </c>
      <c r="E94">
        <f>VLOOKUP(IF('Green+Social Interface'!$T$27&lt;&gt;"",'Green+Social Interface'!$T$27,5),'Look-ups'!$A$144:$B$164,2,FALSE)</f>
        <v>4.75</v>
      </c>
      <c r="F94">
        <f>D94/E94*G$75</f>
        <v>0.35694260137455758</v>
      </c>
      <c r="G94">
        <f>SUM(F94:F95)</f>
        <v>0.729825145263158</v>
      </c>
      <c r="I94" s="345">
        <f>D$75-G94</f>
        <v>1.5585293443410517</v>
      </c>
    </row>
    <row r="95" spans="2:11" x14ac:dyDescent="0.25">
      <c r="B95" t="s">
        <v>922</v>
      </c>
      <c r="C95" t="s">
        <v>920</v>
      </c>
      <c r="D95">
        <f>VLOOKUP(VLOOKUP('Green+Social Interface'!$D$39,'Look-ups_2'!$B$4:$AC$113,28,FALSE),'Look-ups'!$A$50:$AO$118,IF('Green+Social Interface'!$T$25&lt;&gt;"",'Green+Social Interface'!$T$25*4+1,7*4+1),FALSE)*0.277778</f>
        <v>5.5349752608464122</v>
      </c>
      <c r="E95">
        <f>VLOOKUP(IF('Green+Social Interface'!$T$26&lt;&gt;"",'Green+Social Interface'!$T$26,5),'Look-ups'!$A$144:$B$164,2,FALSE)</f>
        <v>4.75</v>
      </c>
      <c r="F95">
        <f>D95/E95*G$75</f>
        <v>0.37288254388860043</v>
      </c>
    </row>
    <row r="96" spans="2:11" x14ac:dyDescent="0.25">
      <c r="C96" t="s">
        <v>925</v>
      </c>
      <c r="D96">
        <f>(D94/E94+D95/E95)*VLOOKUP('Green+Social Interface'!$D$38,'Look-ups'!$A$123:$M$130,13,FALSE)</f>
        <v>0.5870531012210527</v>
      </c>
    </row>
    <row r="97" spans="3:4" x14ac:dyDescent="0.25">
      <c r="C97" s="345" t="s">
        <v>997</v>
      </c>
      <c r="D97" s="345">
        <f>D$76-D96</f>
        <v>1.2322330891931508</v>
      </c>
    </row>
  </sheetData>
  <sheetProtection algorithmName="SHA-512" hashValue="GjjhonSX6GOeW4UFCz9+GyO9YHaMh7ui4/BerGoDWuchJRGVKs/ITfxiUfRKR6L3CVClqvHMb/CX0JQqxc26Zg==" saltValue="V8DD8rO44c+B2ngVX+yegg==" spinCount="100000" sheet="1" selectLockedCells="1" selectUnlockedCells="1"/>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79998168889431442"/>
  </sheetPr>
  <dimension ref="A3:I44"/>
  <sheetViews>
    <sheetView workbookViewId="0">
      <selection activeCell="E1" sqref="E1"/>
    </sheetView>
  </sheetViews>
  <sheetFormatPr defaultColWidth="8.85546875" defaultRowHeight="15" x14ac:dyDescent="0.25"/>
  <cols>
    <col min="1" max="1" width="13.140625" bestFit="1" customWidth="1"/>
    <col min="2" max="2" width="26.85546875" bestFit="1" customWidth="1"/>
    <col min="3" max="3" width="27.42578125" customWidth="1"/>
    <col min="4" max="4" width="32.85546875" customWidth="1"/>
    <col min="5" max="5" width="41.85546875" customWidth="1"/>
    <col min="6" max="6" width="39.42578125" customWidth="1"/>
    <col min="7" max="7" width="37.42578125" customWidth="1"/>
    <col min="8" max="8" width="38.42578125" customWidth="1"/>
    <col min="9" max="9" width="21" customWidth="1"/>
    <col min="10" max="27" width="6" customWidth="1"/>
    <col min="28" max="41" width="7" customWidth="1"/>
    <col min="42" max="42" width="11.42578125" bestFit="1" customWidth="1"/>
  </cols>
  <sheetData>
    <row r="3" spans="1:9" x14ac:dyDescent="0.25">
      <c r="A3" s="147" t="s">
        <v>139</v>
      </c>
      <c r="B3" t="s">
        <v>141</v>
      </c>
      <c r="C3" t="s">
        <v>142</v>
      </c>
      <c r="D3" t="s">
        <v>143</v>
      </c>
      <c r="E3" t="s">
        <v>144</v>
      </c>
      <c r="F3" t="s">
        <v>145</v>
      </c>
      <c r="G3" t="s">
        <v>146</v>
      </c>
      <c r="H3" t="s">
        <v>147</v>
      </c>
      <c r="I3" t="s">
        <v>148</v>
      </c>
    </row>
    <row r="4" spans="1:9" x14ac:dyDescent="0.25">
      <c r="A4" s="148">
        <v>1</v>
      </c>
      <c r="B4" s="77">
        <v>176761.17270400003</v>
      </c>
      <c r="C4" s="77">
        <v>66961.076280000008</v>
      </c>
      <c r="D4" s="77">
        <v>235000.83740800002</v>
      </c>
      <c r="E4" s="77">
        <v>301961.91368800006</v>
      </c>
      <c r="F4" s="77">
        <v>475538.78839200002</v>
      </c>
      <c r="G4" s="77">
        <v>27599.106304000001</v>
      </c>
      <c r="H4" s="77">
        <v>142596.41640000002</v>
      </c>
      <c r="I4" s="77">
        <v>62613.609280000011</v>
      </c>
    </row>
    <row r="5" spans="1:9" x14ac:dyDescent="0.25">
      <c r="A5" s="148">
        <v>2</v>
      </c>
      <c r="B5" s="77">
        <v>65069.005558079996</v>
      </c>
      <c r="C5" s="77">
        <v>68300.297805600014</v>
      </c>
      <c r="D5" s="77">
        <v>16779.059790931202</v>
      </c>
      <c r="E5" s="77">
        <v>85079.357596531219</v>
      </c>
      <c r="F5" s="77">
        <v>146900.37919461119</v>
      </c>
      <c r="G5" s="77">
        <v>28151.088430079995</v>
      </c>
      <c r="H5" s="77">
        <v>30220.954128000001</v>
      </c>
      <c r="I5" s="77">
        <v>63865.881465600018</v>
      </c>
    </row>
    <row r="6" spans="1:9" x14ac:dyDescent="0.25">
      <c r="A6" s="148">
        <v>3</v>
      </c>
      <c r="B6" s="77">
        <v>66370.385669241601</v>
      </c>
      <c r="C6" s="77">
        <v>69666.303761712014</v>
      </c>
      <c r="D6" s="77">
        <v>17114.640986749826</v>
      </c>
      <c r="E6" s="77">
        <v>86780.944748461843</v>
      </c>
      <c r="F6" s="77">
        <v>149838.38677850342</v>
      </c>
      <c r="G6" s="77">
        <v>28714.110198681596</v>
      </c>
      <c r="H6" s="77">
        <v>30825.373210560003</v>
      </c>
      <c r="I6" s="77">
        <v>65143.199094912015</v>
      </c>
    </row>
    <row r="7" spans="1:9" x14ac:dyDescent="0.25">
      <c r="A7" s="148">
        <v>4</v>
      </c>
      <c r="B7" s="77">
        <v>67697.79338262642</v>
      </c>
      <c r="C7" s="77">
        <v>71059.62983694626</v>
      </c>
      <c r="D7" s="77">
        <v>17456.933806484823</v>
      </c>
      <c r="E7" s="77">
        <v>88516.563643431087</v>
      </c>
      <c r="F7" s="77">
        <v>152835.15451407351</v>
      </c>
      <c r="G7" s="77">
        <v>29288.392402655227</v>
      </c>
      <c r="H7" s="77">
        <v>31441.880674771201</v>
      </c>
      <c r="I7" s="77">
        <v>66446.063076810256</v>
      </c>
    </row>
    <row r="8" spans="1:9" x14ac:dyDescent="0.25">
      <c r="A8" s="148">
        <v>5</v>
      </c>
      <c r="B8" s="77">
        <v>69051.749250278954</v>
      </c>
      <c r="C8" s="77">
        <v>72480.822433685185</v>
      </c>
      <c r="D8" s="77">
        <v>17806.07248261452</v>
      </c>
      <c r="E8" s="77">
        <v>90286.894916299701</v>
      </c>
      <c r="F8" s="77">
        <v>155891.857604355</v>
      </c>
      <c r="G8" s="77">
        <v>29874.160250708333</v>
      </c>
      <c r="H8" s="77">
        <v>32070.718288266624</v>
      </c>
      <c r="I8" s="77">
        <v>67774.984338346476</v>
      </c>
    </row>
    <row r="9" spans="1:9" x14ac:dyDescent="0.25">
      <c r="A9" s="148">
        <v>6</v>
      </c>
      <c r="B9" s="77">
        <v>70432.784235284547</v>
      </c>
      <c r="C9" s="77">
        <v>73930.438882358882</v>
      </c>
      <c r="D9" s="77">
        <v>18162.193932266811</v>
      </c>
      <c r="E9" s="77">
        <v>92092.632814625686</v>
      </c>
      <c r="F9" s="77">
        <v>159009.6947564421</v>
      </c>
      <c r="G9" s="77">
        <v>30471.6434557225</v>
      </c>
      <c r="H9" s="77">
        <v>32712.132654031957</v>
      </c>
      <c r="I9" s="77">
        <v>69130.484025113386</v>
      </c>
    </row>
    <row r="10" spans="1:9" x14ac:dyDescent="0.25">
      <c r="A10" s="148">
        <v>7</v>
      </c>
      <c r="B10" s="77">
        <v>71841.43991999024</v>
      </c>
      <c r="C10" s="77">
        <v>75409.047660006065</v>
      </c>
      <c r="D10" s="77">
        <v>18525.43781091215</v>
      </c>
      <c r="E10" s="77">
        <v>93934.485470918211</v>
      </c>
      <c r="F10" s="77">
        <v>162189.88865157092</v>
      </c>
      <c r="G10" s="77">
        <v>31081.076324836951</v>
      </c>
      <c r="H10" s="77">
        <v>33366.37530711259</v>
      </c>
      <c r="I10" s="77">
        <v>70513.093705615669</v>
      </c>
    </row>
    <row r="11" spans="1:9" x14ac:dyDescent="0.25">
      <c r="A11" s="148">
        <v>8</v>
      </c>
      <c r="B11" s="77">
        <v>73278.268718390042</v>
      </c>
      <c r="C11" s="77">
        <v>76917.228613206185</v>
      </c>
      <c r="D11" s="77">
        <v>18895.946567130388</v>
      </c>
      <c r="E11" s="77">
        <v>95813.175180336577</v>
      </c>
      <c r="F11" s="77">
        <v>165433.68642460238</v>
      </c>
      <c r="G11" s="77">
        <v>31702.697851333694</v>
      </c>
      <c r="H11" s="77">
        <v>34033.702813254851</v>
      </c>
      <c r="I11" s="77">
        <v>71923.355579727999</v>
      </c>
    </row>
    <row r="12" spans="1:9" x14ac:dyDescent="0.25">
      <c r="A12" s="148">
        <v>9</v>
      </c>
      <c r="B12" s="77">
        <v>74743.834092757825</v>
      </c>
      <c r="C12" s="77">
        <v>78455.573185470304</v>
      </c>
      <c r="D12" s="77">
        <v>19273.865498473002</v>
      </c>
      <c r="E12" s="77">
        <v>97729.438683943299</v>
      </c>
      <c r="F12" s="77">
        <v>168742.36015309437</v>
      </c>
      <c r="G12" s="77">
        <v>32336.751808360368</v>
      </c>
      <c r="H12" s="77">
        <v>34714.376869519947</v>
      </c>
      <c r="I12" s="77">
        <v>73361.822691322537</v>
      </c>
    </row>
    <row r="13" spans="1:9" x14ac:dyDescent="0.25">
      <c r="A13" s="148">
        <v>10</v>
      </c>
      <c r="B13" s="77">
        <v>76238.710774613006</v>
      </c>
      <c r="C13" s="77">
        <v>80024.684649179719</v>
      </c>
      <c r="D13" s="77">
        <v>19659.342808442463</v>
      </c>
      <c r="E13" s="77">
        <v>99684.027457622185</v>
      </c>
      <c r="F13" s="77">
        <v>172117.20735615629</v>
      </c>
      <c r="G13" s="77">
        <v>32983.486844527579</v>
      </c>
      <c r="H13" s="77">
        <v>35408.664406910342</v>
      </c>
      <c r="I13" s="77">
        <v>74829.059145148989</v>
      </c>
    </row>
    <row r="14" spans="1:9" x14ac:dyDescent="0.25">
      <c r="A14" s="148">
        <v>11</v>
      </c>
      <c r="B14" s="77">
        <v>77763.484990105266</v>
      </c>
      <c r="C14" s="77">
        <v>81625.178342163315</v>
      </c>
      <c r="D14" s="77">
        <v>20052.529664611309</v>
      </c>
      <c r="E14" s="77">
        <v>101677.70800677463</v>
      </c>
      <c r="F14" s="77">
        <v>175559.55150327942</v>
      </c>
      <c r="G14" s="77">
        <v>33643.156581418123</v>
      </c>
      <c r="H14" s="77">
        <v>36116.837695048554</v>
      </c>
      <c r="I14" s="77">
        <v>76325.640328051973</v>
      </c>
    </row>
    <row r="15" spans="1:9" x14ac:dyDescent="0.25">
      <c r="A15" s="148">
        <v>12</v>
      </c>
      <c r="B15" s="77">
        <v>79318.754689907364</v>
      </c>
      <c r="C15" s="77">
        <v>83257.681909006598</v>
      </c>
      <c r="D15" s="77">
        <v>20453.580257903537</v>
      </c>
      <c r="E15" s="77">
        <v>103711.26216691014</v>
      </c>
      <c r="F15" s="77">
        <v>179070.74253334501</v>
      </c>
      <c r="G15" s="77">
        <v>34316.019713046488</v>
      </c>
      <c r="H15" s="77">
        <v>36839.174448949525</v>
      </c>
      <c r="I15" s="77">
        <v>77852.153134613021</v>
      </c>
    </row>
    <row r="16" spans="1:9" x14ac:dyDescent="0.25">
      <c r="A16" s="148">
        <v>13</v>
      </c>
      <c r="B16" s="77">
        <v>80905.129783705517</v>
      </c>
      <c r="C16" s="77">
        <v>84922.835547186725</v>
      </c>
      <c r="D16" s="77">
        <v>20862.651863061612</v>
      </c>
      <c r="E16" s="77">
        <v>105785.48741024834</v>
      </c>
      <c r="F16" s="77">
        <v>182652.15738401192</v>
      </c>
      <c r="G16" s="77">
        <v>35002.34010730742</v>
      </c>
      <c r="H16" s="77">
        <v>37575.957937928521</v>
      </c>
      <c r="I16" s="77">
        <v>79409.196197305282</v>
      </c>
    </row>
    <row r="17" spans="1:9" x14ac:dyDescent="0.25">
      <c r="A17" s="148">
        <v>14</v>
      </c>
      <c r="B17" s="77">
        <v>82523.232379379609</v>
      </c>
      <c r="C17" s="77">
        <v>86621.292258130474</v>
      </c>
      <c r="D17" s="77">
        <v>21279.904900322843</v>
      </c>
      <c r="E17" s="77">
        <v>107901.19715845332</v>
      </c>
      <c r="F17" s="77">
        <v>186305.20053169219</v>
      </c>
      <c r="G17" s="77">
        <v>35702.386909453562</v>
      </c>
      <c r="H17" s="77">
        <v>38327.477096687093</v>
      </c>
      <c r="I17" s="77">
        <v>80997.380121251394</v>
      </c>
    </row>
    <row r="18" spans="1:9" x14ac:dyDescent="0.25">
      <c r="A18" s="148">
        <v>15</v>
      </c>
      <c r="B18" s="77">
        <v>84173.697026967217</v>
      </c>
      <c r="C18" s="77">
        <v>88353.718103293068</v>
      </c>
      <c r="D18" s="77">
        <v>21705.502998329299</v>
      </c>
      <c r="E18" s="77">
        <v>110059.22110162236</v>
      </c>
      <c r="F18" s="77">
        <v>190031.30454232599</v>
      </c>
      <c r="G18" s="77">
        <v>36416.434647642636</v>
      </c>
      <c r="H18" s="77">
        <v>39094.026638620839</v>
      </c>
      <c r="I18" s="77">
        <v>82617.327723676412</v>
      </c>
    </row>
    <row r="19" spans="1:9" x14ac:dyDescent="0.25">
      <c r="A19" s="148">
        <v>16</v>
      </c>
      <c r="B19" s="77">
        <v>85857.170967506565</v>
      </c>
      <c r="C19" s="77">
        <v>90120.792465358943</v>
      </c>
      <c r="D19" s="77">
        <v>22139.613058295887</v>
      </c>
      <c r="E19" s="77">
        <v>112260.40552365483</v>
      </c>
      <c r="F19" s="77">
        <v>193831.93063317251</v>
      </c>
      <c r="G19" s="77">
        <v>37144.763340595484</v>
      </c>
      <c r="H19" s="77">
        <v>39875.90717139325</v>
      </c>
      <c r="I19" s="77">
        <v>84269.674278149949</v>
      </c>
    </row>
    <row r="20" spans="1:9" x14ac:dyDescent="0.25">
      <c r="A20" s="148">
        <v>17</v>
      </c>
      <c r="B20" s="77">
        <v>87574.314386856699</v>
      </c>
      <c r="C20" s="77">
        <v>91923.208314666117</v>
      </c>
      <c r="D20" s="77">
        <v>22582.405319461806</v>
      </c>
      <c r="E20" s="77">
        <v>114505.61363412792</v>
      </c>
      <c r="F20" s="77">
        <v>197708.56924583603</v>
      </c>
      <c r="G20" s="77">
        <v>37887.6586074074</v>
      </c>
      <c r="H20" s="77">
        <v>40673.425314821114</v>
      </c>
      <c r="I20" s="77">
        <v>85955.067763712956</v>
      </c>
    </row>
    <row r="21" spans="1:9" x14ac:dyDescent="0.25">
      <c r="A21" s="148">
        <v>18</v>
      </c>
      <c r="B21" s="77">
        <v>89325.800674593833</v>
      </c>
      <c r="C21" s="77">
        <v>93761.672480959431</v>
      </c>
      <c r="D21" s="77">
        <v>23034.053425851045</v>
      </c>
      <c r="E21" s="77">
        <v>116795.72590681048</v>
      </c>
      <c r="F21" s="77">
        <v>201662.74063075267</v>
      </c>
      <c r="G21" s="77">
        <v>38645.411779555543</v>
      </c>
      <c r="H21" s="77">
        <v>41486.893821117541</v>
      </c>
      <c r="I21" s="77">
        <v>87674.169118987207</v>
      </c>
    </row>
    <row r="22" spans="1:9" x14ac:dyDescent="0.25">
      <c r="A22" s="148">
        <v>19</v>
      </c>
      <c r="B22" s="77">
        <v>91112.316688085717</v>
      </c>
      <c r="C22" s="77">
        <v>95636.905930578636</v>
      </c>
      <c r="D22" s="77">
        <v>23494.734494368065</v>
      </c>
      <c r="E22" s="77">
        <v>119131.6404249467</v>
      </c>
      <c r="F22" s="77">
        <v>205695.99544336781</v>
      </c>
      <c r="G22" s="77">
        <v>39418.320015146659</v>
      </c>
      <c r="H22" s="77">
        <v>42316.631697539888</v>
      </c>
      <c r="I22" s="77">
        <v>89427.65250136696</v>
      </c>
    </row>
    <row r="23" spans="1:9" x14ac:dyDescent="0.25">
      <c r="A23" s="148">
        <v>20</v>
      </c>
      <c r="B23" s="77">
        <v>92934.563021847425</v>
      </c>
      <c r="C23" s="77">
        <v>97549.644049190203</v>
      </c>
      <c r="D23" s="77">
        <v>23964.629184255427</v>
      </c>
      <c r="E23" s="77">
        <v>121514.27323344562</v>
      </c>
      <c r="F23" s="77">
        <v>209809.91535223514</v>
      </c>
      <c r="G23" s="77">
        <v>40206.686415449585</v>
      </c>
      <c r="H23" s="77">
        <v>43162.964331490686</v>
      </c>
      <c r="I23" s="77">
        <v>91216.205551394291</v>
      </c>
    </row>
    <row r="24" spans="1:9" x14ac:dyDescent="0.25">
      <c r="A24" s="148">
        <v>21</v>
      </c>
      <c r="B24" s="77">
        <v>94793.254282284368</v>
      </c>
      <c r="C24" s="77">
        <v>99500.63693017402</v>
      </c>
      <c r="D24" s="77">
        <v>24443.921767940534</v>
      </c>
      <c r="E24" s="77">
        <v>123944.55869811456</v>
      </c>
      <c r="F24" s="77">
        <v>214006.11365927986</v>
      </c>
      <c r="G24" s="77">
        <v>41010.820143758581</v>
      </c>
      <c r="H24" s="77">
        <v>44026.223618120508</v>
      </c>
      <c r="I24" s="77">
        <v>93040.529662422181</v>
      </c>
    </row>
    <row r="25" spans="1:9" x14ac:dyDescent="0.25">
      <c r="A25" s="148">
        <v>22</v>
      </c>
      <c r="B25" s="77">
        <v>96689.119367930049</v>
      </c>
      <c r="C25" s="77">
        <v>101490.64966877752</v>
      </c>
      <c r="D25" s="77">
        <v>24932.800203299346</v>
      </c>
      <c r="E25" s="77">
        <v>126423.44987207686</v>
      </c>
      <c r="F25" s="77">
        <v>218286.23593246544</v>
      </c>
      <c r="G25" s="77">
        <v>41831.036546633753</v>
      </c>
      <c r="H25" s="77">
        <v>44906.748090482914</v>
      </c>
      <c r="I25" s="77">
        <v>94901.340255670642</v>
      </c>
    </row>
    <row r="26" spans="1:9" x14ac:dyDescent="0.25">
      <c r="A26" s="148">
        <v>23</v>
      </c>
      <c r="B26" s="77">
        <v>98622.901755288665</v>
      </c>
      <c r="C26" s="77">
        <v>103520.46266215303</v>
      </c>
      <c r="D26" s="77">
        <v>25431.456207365332</v>
      </c>
      <c r="E26" s="77">
        <v>128951.91886951837</v>
      </c>
      <c r="F26" s="77">
        <v>222651.96065111476</v>
      </c>
      <c r="G26" s="77">
        <v>42667.657277566432</v>
      </c>
      <c r="H26" s="77">
        <v>45804.883052292571</v>
      </c>
      <c r="I26" s="77">
        <v>96799.367060784032</v>
      </c>
    </row>
    <row r="27" spans="1:9" x14ac:dyDescent="0.25">
      <c r="A27" s="148">
        <v>24</v>
      </c>
      <c r="B27" s="77">
        <v>100595.35979039442</v>
      </c>
      <c r="C27" s="77">
        <v>105590.87191539611</v>
      </c>
      <c r="D27" s="77">
        <v>25940.085331512644</v>
      </c>
      <c r="E27" s="77">
        <v>131530.95724690874</v>
      </c>
      <c r="F27" s="77">
        <v>227104.99986413709</v>
      </c>
      <c r="G27" s="77">
        <v>43521.010423117754</v>
      </c>
      <c r="H27" s="77">
        <v>46720.980713338424</v>
      </c>
      <c r="I27" s="77">
        <v>98735.354401999721</v>
      </c>
    </row>
    <row r="28" spans="1:9" x14ac:dyDescent="0.25">
      <c r="A28" s="148">
        <v>25</v>
      </c>
      <c r="B28" s="77">
        <v>102607.26698620233</v>
      </c>
      <c r="C28" s="77">
        <v>107702.68935370405</v>
      </c>
      <c r="D28" s="77">
        <v>26458.887038142893</v>
      </c>
      <c r="E28" s="77">
        <v>134161.57639184693</v>
      </c>
      <c r="F28" s="77">
        <v>231647.09986141979</v>
      </c>
      <c r="G28" s="77">
        <v>44391.430631580115</v>
      </c>
      <c r="H28" s="77">
        <v>47655.400327605188</v>
      </c>
      <c r="I28" s="77">
        <v>100710.06149003972</v>
      </c>
    </row>
    <row r="29" spans="1:9" x14ac:dyDescent="0.25">
      <c r="A29" s="148">
        <v>26</v>
      </c>
      <c r="B29" s="77">
        <v>104659.41232592639</v>
      </c>
      <c r="C29" s="77">
        <v>109856.74314077813</v>
      </c>
      <c r="D29" s="77">
        <v>26988.064778905751</v>
      </c>
      <c r="E29" s="77">
        <v>136844.80791968387</v>
      </c>
      <c r="F29" s="77">
        <v>236280.04185864815</v>
      </c>
      <c r="G29" s="77">
        <v>45279.259244211717</v>
      </c>
      <c r="H29" s="77">
        <v>48608.508334157297</v>
      </c>
      <c r="I29" s="77">
        <v>102724.26271984052</v>
      </c>
    </row>
    <row r="30" spans="1:9" x14ac:dyDescent="0.25">
      <c r="A30" s="148">
        <v>27</v>
      </c>
      <c r="B30" s="77">
        <v>106752.60057244491</v>
      </c>
      <c r="C30" s="77">
        <v>112053.87800359368</v>
      </c>
      <c r="D30" s="77">
        <v>27527.826074483863</v>
      </c>
      <c r="E30" s="77">
        <v>139581.70407807754</v>
      </c>
      <c r="F30" s="77">
        <v>241005.64269582118</v>
      </c>
      <c r="G30" s="77">
        <v>46184.844429095952</v>
      </c>
      <c r="H30" s="77">
        <v>49580.678500840448</v>
      </c>
      <c r="I30" s="77">
        <v>104778.74797423733</v>
      </c>
    </row>
    <row r="31" spans="1:9" x14ac:dyDescent="0.25">
      <c r="A31" s="148">
        <v>28</v>
      </c>
      <c r="B31" s="77">
        <v>108887.6525838938</v>
      </c>
      <c r="C31" s="77">
        <v>114294.95556366554</v>
      </c>
      <c r="D31" s="77">
        <v>28078.382595973544</v>
      </c>
      <c r="E31" s="77">
        <v>142373.3381596391</v>
      </c>
      <c r="F31" s="77">
        <v>245825.7555497376</v>
      </c>
      <c r="G31" s="77">
        <v>47108.541317677867</v>
      </c>
      <c r="H31" s="77">
        <v>50572.292070857256</v>
      </c>
      <c r="I31" s="77">
        <v>106874.32293372208</v>
      </c>
    </row>
    <row r="32" spans="1:9" x14ac:dyDescent="0.25">
      <c r="A32" s="148">
        <v>29</v>
      </c>
      <c r="B32" s="77">
        <v>111065.40563557167</v>
      </c>
      <c r="C32" s="77">
        <v>116580.85467493886</v>
      </c>
      <c r="D32" s="77">
        <v>28639.950247893015</v>
      </c>
      <c r="E32" s="77">
        <v>145220.80492283189</v>
      </c>
      <c r="F32" s="77">
        <v>250742.27066073238</v>
      </c>
      <c r="G32" s="77">
        <v>48050.712144031437</v>
      </c>
      <c r="H32" s="77">
        <v>51583.737912274395</v>
      </c>
      <c r="I32" s="77">
        <v>109011.80939239652</v>
      </c>
    </row>
    <row r="33" spans="1:9" x14ac:dyDescent="0.25">
      <c r="A33" s="148">
        <v>30</v>
      </c>
      <c r="B33" s="77">
        <v>113286.71374828313</v>
      </c>
      <c r="C33" s="77">
        <v>118912.47176843765</v>
      </c>
      <c r="D33" s="77">
        <v>29212.749252850877</v>
      </c>
      <c r="E33" s="77">
        <v>148125.22102128854</v>
      </c>
      <c r="F33" s="77">
        <v>255757.11607394702</v>
      </c>
      <c r="G33" s="77">
        <v>49011.726386912065</v>
      </c>
      <c r="H33" s="77">
        <v>52615.41267051988</v>
      </c>
      <c r="I33" s="77">
        <v>111192.04558024445</v>
      </c>
    </row>
    <row r="34" spans="1:9" x14ac:dyDescent="0.25">
      <c r="A34" s="148">
        <v>31</v>
      </c>
      <c r="B34" s="77">
        <v>115552.44802324878</v>
      </c>
      <c r="C34" s="77">
        <v>121290.72120380643</v>
      </c>
      <c r="D34" s="77">
        <v>29797.004237907895</v>
      </c>
      <c r="E34" s="77">
        <v>151087.72544171434</v>
      </c>
      <c r="F34" s="77">
        <v>260872.25839542592</v>
      </c>
      <c r="G34" s="77">
        <v>49991.960914650306</v>
      </c>
      <c r="H34" s="77">
        <v>53667.720923930283</v>
      </c>
      <c r="I34" s="77">
        <v>113415.88649184935</v>
      </c>
    </row>
    <row r="35" spans="1:9" x14ac:dyDescent="0.25">
      <c r="A35" s="148">
        <v>32</v>
      </c>
      <c r="B35" s="77">
        <v>117863.49698371376</v>
      </c>
      <c r="C35" s="77">
        <v>123716.53562788255</v>
      </c>
      <c r="D35" s="77">
        <v>30392.944322666051</v>
      </c>
      <c r="E35" s="77">
        <v>154109.47995054862</v>
      </c>
      <c r="F35" s="77">
        <v>266089.70356333448</v>
      </c>
      <c r="G35" s="77">
        <v>50991.800132943317</v>
      </c>
      <c r="H35" s="77">
        <v>54741.075342408898</v>
      </c>
      <c r="I35" s="77">
        <v>115684.20422168635</v>
      </c>
    </row>
    <row r="36" spans="1:9" x14ac:dyDescent="0.25">
      <c r="A36" s="148">
        <v>33</v>
      </c>
      <c r="B36" s="77">
        <v>120220.76692338804</v>
      </c>
      <c r="C36" s="77">
        <v>126190.86634044017</v>
      </c>
      <c r="D36" s="77">
        <v>31000.803209119378</v>
      </c>
      <c r="E36" s="77">
        <v>157191.66954955956</v>
      </c>
      <c r="F36" s="77">
        <v>271411.49763460114</v>
      </c>
      <c r="G36" s="77">
        <v>52011.636135602181</v>
      </c>
      <c r="H36" s="77">
        <v>55835.896849257071</v>
      </c>
      <c r="I36" s="77">
        <v>117997.88830612006</v>
      </c>
    </row>
    <row r="37" spans="1:9" x14ac:dyDescent="0.25">
      <c r="A37" s="148">
        <v>34</v>
      </c>
      <c r="B37" s="77">
        <v>122625.18226185579</v>
      </c>
      <c r="C37" s="77">
        <v>128714.683667249</v>
      </c>
      <c r="D37" s="77">
        <v>31620.819273301764</v>
      </c>
      <c r="E37" s="77">
        <v>160335.50294055077</v>
      </c>
      <c r="F37" s="77">
        <v>276839.72758729325</v>
      </c>
      <c r="G37" s="77">
        <v>53051.868858314221</v>
      </c>
      <c r="H37" s="77">
        <v>56952.614786242208</v>
      </c>
      <c r="I37" s="77">
        <v>120357.84607224245</v>
      </c>
    </row>
    <row r="38" spans="1:9" x14ac:dyDescent="0.25">
      <c r="A38" s="148">
        <v>35</v>
      </c>
      <c r="B38" s="77">
        <v>125077.68590709293</v>
      </c>
      <c r="C38" s="77">
        <v>131288.97734059399</v>
      </c>
      <c r="D38" s="77">
        <v>32253.235658767797</v>
      </c>
      <c r="E38" s="77">
        <v>163542.2129993618</v>
      </c>
      <c r="F38" s="77">
        <v>282376.52213903901</v>
      </c>
      <c r="G38" s="77">
        <v>54112.906235480506</v>
      </c>
      <c r="H38" s="77">
        <v>58091.667081967062</v>
      </c>
      <c r="I38" s="77">
        <v>122765.00299368732</v>
      </c>
    </row>
    <row r="39" spans="1:9" x14ac:dyDescent="0.25">
      <c r="A39" s="148">
        <v>36</v>
      </c>
      <c r="B39" s="77">
        <v>127579.23962523478</v>
      </c>
      <c r="C39" s="77">
        <v>133914.75688740585</v>
      </c>
      <c r="D39" s="77">
        <v>32898.300371943158</v>
      </c>
      <c r="E39" s="77">
        <v>166813.05725934901</v>
      </c>
      <c r="F39" s="77">
        <v>288024.05258181982</v>
      </c>
      <c r="G39" s="77">
        <v>55195.164360190123</v>
      </c>
      <c r="H39" s="77">
        <v>59253.500423606412</v>
      </c>
      <c r="I39" s="77">
        <v>125220.30305356107</v>
      </c>
    </row>
    <row r="40" spans="1:9" x14ac:dyDescent="0.25">
      <c r="A40" s="148">
        <v>37</v>
      </c>
      <c r="B40" s="77">
        <v>130130.82441773948</v>
      </c>
      <c r="C40" s="77">
        <v>136593.05202515397</v>
      </c>
      <c r="D40" s="77">
        <v>33556.266379382025</v>
      </c>
      <c r="E40" s="77">
        <v>170149.318404536</v>
      </c>
      <c r="F40" s="77">
        <v>293784.53363345622</v>
      </c>
      <c r="G40" s="77">
        <v>56299.067647393924</v>
      </c>
      <c r="H40" s="77">
        <v>60438.57043207853</v>
      </c>
      <c r="I40" s="77">
        <v>127724.70911463226</v>
      </c>
    </row>
    <row r="41" spans="1:9" x14ac:dyDescent="0.25">
      <c r="A41" s="148">
        <v>38</v>
      </c>
      <c r="B41" s="77">
        <v>132733.44090609427</v>
      </c>
      <c r="C41" s="77">
        <v>139324.91306565705</v>
      </c>
      <c r="D41" s="77">
        <v>34227.391706969662</v>
      </c>
      <c r="E41" s="77">
        <v>173552.30477262673</v>
      </c>
      <c r="F41" s="77">
        <v>299660.22430612537</v>
      </c>
      <c r="G41" s="77">
        <v>57425.049000341809</v>
      </c>
      <c r="H41" s="77">
        <v>61647.34184072011</v>
      </c>
      <c r="I41" s="77">
        <v>130279.20329692493</v>
      </c>
    </row>
    <row r="42" spans="1:9" x14ac:dyDescent="0.25">
      <c r="A42" s="148">
        <v>39</v>
      </c>
      <c r="B42" s="77">
        <v>135388.10972421619</v>
      </c>
      <c r="C42" s="77">
        <v>142111.41132697024</v>
      </c>
      <c r="D42" s="77">
        <v>34911.939541109052</v>
      </c>
      <c r="E42" s="77">
        <v>177023.35086807929</v>
      </c>
      <c r="F42" s="77">
        <v>305653.4287922479</v>
      </c>
      <c r="G42" s="77">
        <v>58573.549980348645</v>
      </c>
      <c r="H42" s="77">
        <v>62880.28867753451</v>
      </c>
      <c r="I42" s="77">
        <v>132884.78736286346</v>
      </c>
    </row>
    <row r="43" spans="1:9" x14ac:dyDescent="0.25">
      <c r="A43" s="148">
        <v>40</v>
      </c>
      <c r="B43" s="77">
        <v>138095.87191870052</v>
      </c>
      <c r="C43" s="77">
        <v>144953.63955350962</v>
      </c>
      <c r="D43" s="77">
        <v>35610.178331931238</v>
      </c>
      <c r="E43" s="77">
        <v>180563.81788544086</v>
      </c>
      <c r="F43" s="77">
        <v>311766.49736809288</v>
      </c>
      <c r="G43" s="77">
        <v>59745.020979955618</v>
      </c>
      <c r="H43" s="77">
        <v>64137.894451085202</v>
      </c>
      <c r="I43" s="77">
        <v>135542.48311012069</v>
      </c>
    </row>
    <row r="44" spans="1:9" x14ac:dyDescent="0.25">
      <c r="A44" s="148" t="s">
        <v>140</v>
      </c>
      <c r="B44" s="77">
        <v>3966200.362653723</v>
      </c>
      <c r="C44" s="77">
        <v>4044581.8032289846</v>
      </c>
      <c r="D44" s="77">
        <v>1212166.9427899318</v>
      </c>
      <c r="E44" s="77">
        <v>5256748.7460189154</v>
      </c>
      <c r="F44" s="77">
        <v>9030611.194434166</v>
      </c>
      <c r="G44" s="77">
        <v>1667040.7547777351</v>
      </c>
      <c r="H44" s="77">
        <v>1902581.3270053437</v>
      </c>
      <c r="I44" s="77">
        <v>3781986.174616152</v>
      </c>
    </row>
  </sheetData>
  <sheetProtection algorithmName="SHA-512" hashValue="O4iN6iTGYeDx0sbZ9NFMW9spKcM9efkE1TIF3haseMEiwbDL+Ss0kw2ymtj06fkSuIMp2NR54tKPcsYyWIzt+A==" saltValue="zpUDTUnzNF70x39G8dz72Q==" spinCount="100000" sheet="1" selectLockedCells="1" selectUnlockedCell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tint="0.79998168889431442"/>
  </sheetPr>
  <dimension ref="A1:AO164"/>
  <sheetViews>
    <sheetView workbookViewId="0">
      <selection activeCell="C17" sqref="C17"/>
    </sheetView>
  </sheetViews>
  <sheetFormatPr defaultColWidth="8.85546875" defaultRowHeight="15" x14ac:dyDescent="0.25"/>
  <cols>
    <col min="2" max="2" width="17.42578125" customWidth="1"/>
    <col min="9" max="9" width="22.85546875" bestFit="1" customWidth="1"/>
    <col min="15" max="15" width="22.140625" bestFit="1" customWidth="1"/>
    <col min="25" max="25" width="30.140625" bestFit="1" customWidth="1"/>
    <col min="26" max="26" width="5.140625" bestFit="1" customWidth="1"/>
    <col min="27" max="27" width="11.42578125" bestFit="1" customWidth="1"/>
    <col min="28" max="28" width="11" bestFit="1" customWidth="1"/>
    <col min="29" max="29" width="31.85546875" bestFit="1" customWidth="1"/>
    <col min="30" max="30" width="20.42578125" bestFit="1" customWidth="1"/>
    <col min="31" max="31" width="24.42578125" bestFit="1" customWidth="1"/>
    <col min="32" max="32" width="25.42578125" bestFit="1" customWidth="1"/>
    <col min="33" max="33" width="26" bestFit="1" customWidth="1"/>
  </cols>
  <sheetData>
    <row r="1" spans="1:36" s="186" customFormat="1" x14ac:dyDescent="0.25">
      <c r="A1" s="187" t="s">
        <v>233</v>
      </c>
      <c r="K1" s="187" t="s">
        <v>233</v>
      </c>
      <c r="Y1" s="187" t="s">
        <v>233</v>
      </c>
    </row>
    <row r="2" spans="1:36" x14ac:dyDescent="0.25">
      <c r="A2" t="s">
        <v>137</v>
      </c>
      <c r="B2" t="s">
        <v>280</v>
      </c>
      <c r="C2" s="176" t="s">
        <v>154</v>
      </c>
      <c r="E2" s="173" t="s">
        <v>161</v>
      </c>
      <c r="G2" s="174" t="s">
        <v>170</v>
      </c>
      <c r="H2" s="174"/>
      <c r="I2" s="174" t="s">
        <v>178</v>
      </c>
      <c r="J2" s="174" t="s">
        <v>170</v>
      </c>
      <c r="K2" s="174" t="s">
        <v>89</v>
      </c>
      <c r="L2" s="174" t="s">
        <v>177</v>
      </c>
      <c r="M2" s="174" t="s">
        <v>176</v>
      </c>
      <c r="N2" s="174"/>
      <c r="O2" s="174" t="s">
        <v>178</v>
      </c>
      <c r="P2" s="174" t="s">
        <v>12</v>
      </c>
      <c r="Q2" s="174" t="s">
        <v>170</v>
      </c>
      <c r="R2" s="174" t="s">
        <v>89</v>
      </c>
      <c r="S2" s="174" t="s">
        <v>179</v>
      </c>
      <c r="T2" s="174" t="s">
        <v>1098</v>
      </c>
      <c r="U2" s="174" t="s">
        <v>180</v>
      </c>
      <c r="Z2" s="175"/>
      <c r="AA2" s="175"/>
      <c r="AB2" s="175"/>
      <c r="AC2" s="175" t="s">
        <v>836</v>
      </c>
      <c r="AD2" s="175" t="s">
        <v>837</v>
      </c>
      <c r="AE2" s="175" t="s">
        <v>838</v>
      </c>
      <c r="AF2" s="175" t="s">
        <v>839</v>
      </c>
      <c r="AG2" s="175" t="s">
        <v>840</v>
      </c>
      <c r="AI2" s="175" t="s">
        <v>843</v>
      </c>
    </row>
    <row r="3" spans="1:36" x14ac:dyDescent="0.25">
      <c r="A3">
        <v>10</v>
      </c>
      <c r="B3" s="22">
        <v>0.04</v>
      </c>
      <c r="C3" s="176" t="s">
        <v>155</v>
      </c>
      <c r="E3" s="173" t="s">
        <v>162</v>
      </c>
      <c r="G3" s="174" t="s">
        <v>171</v>
      </c>
      <c r="H3" s="174"/>
      <c r="I3" s="174" t="str">
        <f>CONCATENATE(J3,"-",K3,"-",L3)</f>
        <v>Capital City-Flat-Studio</v>
      </c>
      <c r="J3" s="174" t="s">
        <v>171</v>
      </c>
      <c r="K3" s="174" t="s">
        <v>175</v>
      </c>
      <c r="L3" s="174" t="s">
        <v>10</v>
      </c>
      <c r="M3" s="174">
        <v>0.69333333333333336</v>
      </c>
      <c r="N3" s="174"/>
      <c r="O3" s="174" t="str">
        <f>CONCATENATE(P3,"-",Q3,"-",R3)</f>
        <v>ACT-Capital City-House</v>
      </c>
      <c r="P3" s="174" t="s">
        <v>162</v>
      </c>
      <c r="Q3" s="174" t="s">
        <v>171</v>
      </c>
      <c r="R3" s="174" t="s">
        <v>135</v>
      </c>
      <c r="S3" s="174">
        <f>ROUND(VLOOKUP('Green+Social Interface'!$I$38,'Look-ups'!$A$15:$C$43,3,0)*T3,0)</f>
        <v>522</v>
      </c>
      <c r="T3" s="174">
        <v>485</v>
      </c>
      <c r="U3" s="174" t="s">
        <v>181</v>
      </c>
      <c r="Y3" s="175" t="s">
        <v>178</v>
      </c>
      <c r="Z3" s="175" t="s">
        <v>12</v>
      </c>
      <c r="AA3" s="175" t="s">
        <v>170</v>
      </c>
      <c r="AB3" s="175" t="s">
        <v>89</v>
      </c>
      <c r="AC3" s="175" t="s">
        <v>227</v>
      </c>
      <c r="AD3" s="175" t="s">
        <v>227</v>
      </c>
      <c r="AE3" s="175" t="s">
        <v>227</v>
      </c>
      <c r="AF3" s="175" t="s">
        <v>227</v>
      </c>
      <c r="AG3" s="175" t="s">
        <v>227</v>
      </c>
      <c r="AI3" s="107" t="s">
        <v>1100</v>
      </c>
      <c r="AJ3" t="s">
        <v>985</v>
      </c>
    </row>
    <row r="4" spans="1:36" x14ac:dyDescent="0.25">
      <c r="A4">
        <v>15</v>
      </c>
      <c r="B4" s="22">
        <v>7.0000000000000007E-2</v>
      </c>
      <c r="C4" s="176" t="s">
        <v>156</v>
      </c>
      <c r="E4" s="173" t="s">
        <v>163</v>
      </c>
      <c r="G4" s="174" t="s">
        <v>172</v>
      </c>
      <c r="H4" s="174"/>
      <c r="I4" s="174" t="str">
        <f t="shared" ref="I4:I24" si="0">CONCATENATE(J4,"-",K4,"-",L4)</f>
        <v>Capital City-Flat-1-bed</v>
      </c>
      <c r="J4" s="174" t="s">
        <v>171</v>
      </c>
      <c r="K4" s="174" t="s">
        <v>175</v>
      </c>
      <c r="L4" s="174" t="s">
        <v>6</v>
      </c>
      <c r="M4" s="174">
        <v>0.93333333333333335</v>
      </c>
      <c r="N4" s="174"/>
      <c r="O4" s="174" t="str">
        <f t="shared" ref="O4:O34" si="1">CONCATENATE(P4,"-",Q4,"-",R4)</f>
        <v>ACT-Capital City-Flat</v>
      </c>
      <c r="P4" s="174" t="s">
        <v>162</v>
      </c>
      <c r="Q4" s="174" t="s">
        <v>171</v>
      </c>
      <c r="R4" s="174" t="s">
        <v>175</v>
      </c>
      <c r="S4" s="174">
        <f>ROUND(VLOOKUP('Green+Social Interface'!$I$38,'Look-ups'!$A$15:$C$43,3,0)*T4,0)</f>
        <v>533</v>
      </c>
      <c r="T4" s="174">
        <v>495</v>
      </c>
      <c r="U4" s="174"/>
      <c r="Y4" s="175" t="str">
        <f>CONCATENATE(Z4,"-",AA4,"-",AB4)</f>
        <v>ACT-Capital City-Lone Person</v>
      </c>
      <c r="Z4" s="175" t="s">
        <v>162</v>
      </c>
      <c r="AA4" s="175" t="s">
        <v>171</v>
      </c>
      <c r="AB4" s="175" t="s">
        <v>224</v>
      </c>
      <c r="AC4" s="175">
        <f>VLOOKUP('Green+Social Interface'!$I$38,'Look-ups'!$A$15:$C$43,2,0)*86</f>
        <v>92.02000000000001</v>
      </c>
      <c r="AD4" s="175">
        <f>VLOOKUP('Green+Social Interface'!$I$38,'Look-ups'!$A$15:$C$43,2,0)*123</f>
        <v>131.61000000000001</v>
      </c>
      <c r="AE4" s="175">
        <f>VLOOKUP('Green+Social Interface'!$I$38,'Look-ups'!$A$15:$C$43,2,0)*147</f>
        <v>157.29000000000002</v>
      </c>
      <c r="AF4" s="175">
        <f>VLOOKUP('Green+Social Interface'!$I$38,'Look-ups'!$A$15:$C$43,2,0)*180</f>
        <v>192.60000000000002</v>
      </c>
      <c r="AG4" s="175">
        <f>VLOOKUP('Green+Social Interface'!$I$38,'Look-ups'!$A$15:$C$43,2,0)*171</f>
        <v>182.97</v>
      </c>
      <c r="AI4" s="107" t="s">
        <v>1100</v>
      </c>
      <c r="AJ4" t="s">
        <v>1051</v>
      </c>
    </row>
    <row r="5" spans="1:36" x14ac:dyDescent="0.25">
      <c r="A5">
        <v>20</v>
      </c>
      <c r="B5" s="22">
        <v>0.1</v>
      </c>
      <c r="E5" s="173" t="s">
        <v>164</v>
      </c>
      <c r="G5" s="174"/>
      <c r="H5" s="174"/>
      <c r="I5" s="174" t="str">
        <f t="shared" si="0"/>
        <v>Capital City-Flat-2-bed</v>
      </c>
      <c r="J5" s="174" t="s">
        <v>171</v>
      </c>
      <c r="K5" s="174" t="s">
        <v>175</v>
      </c>
      <c r="L5" s="174" t="s">
        <v>7</v>
      </c>
      <c r="M5" s="174">
        <v>1</v>
      </c>
      <c r="N5" s="174"/>
      <c r="O5" s="174" t="str">
        <f t="shared" si="1"/>
        <v>ACT-Regional City-House</v>
      </c>
      <c r="P5" s="174" t="s">
        <v>162</v>
      </c>
      <c r="Q5" s="174" t="s">
        <v>172</v>
      </c>
      <c r="R5" s="174" t="s">
        <v>135</v>
      </c>
      <c r="S5" s="174">
        <f>ROUND(VLOOKUP('Green+Social Interface'!$I$38,'Look-ups'!$A$15:$C$43,3,0)*T5,0)</f>
        <v>539</v>
      </c>
      <c r="T5" s="174">
        <v>500</v>
      </c>
      <c r="U5" s="174" t="s">
        <v>182</v>
      </c>
      <c r="Y5" s="175" t="str">
        <f t="shared" ref="Y5:Y35" si="2">CONCATENATE(Z5,"-",AA5,"-",AB5)</f>
        <v>ACT-Capital City-Couple Only</v>
      </c>
      <c r="Z5" s="175" t="s">
        <v>162</v>
      </c>
      <c r="AA5" s="175" t="s">
        <v>171</v>
      </c>
      <c r="AB5" s="175" t="s">
        <v>220</v>
      </c>
      <c r="AC5" s="175">
        <f>VLOOKUP('Green+Social Interface'!$I$38,'Look-ups'!$A$15:$C$43,2,0)*139</f>
        <v>148.73000000000002</v>
      </c>
      <c r="AD5" s="175">
        <f>VLOOKUP('Green+Social Interface'!$I$38,'Look-ups'!$A$15:$C$43,2,0)*131</f>
        <v>140.17000000000002</v>
      </c>
      <c r="AE5" s="175">
        <f>VLOOKUP('Green+Social Interface'!$I$38,'Look-ups'!$A$15:$C$43,2,0)*148</f>
        <v>158.36000000000001</v>
      </c>
      <c r="AF5" s="175">
        <f>VLOOKUP('Green+Social Interface'!$I$38,'Look-ups'!$A$15:$C$43,2,0)*164</f>
        <v>175.48000000000002</v>
      </c>
      <c r="AG5" s="175">
        <f>VLOOKUP('Green+Social Interface'!$I$38,'Look-ups'!$A$15:$C$43,2,0)*206</f>
        <v>220.42000000000002</v>
      </c>
      <c r="AI5" t="s">
        <v>1102</v>
      </c>
    </row>
    <row r="6" spans="1:36" x14ac:dyDescent="0.25">
      <c r="A6">
        <v>25</v>
      </c>
      <c r="E6" s="173" t="s">
        <v>165</v>
      </c>
      <c r="G6" s="174"/>
      <c r="H6" s="174"/>
      <c r="I6" s="174" t="str">
        <f t="shared" si="0"/>
        <v>Capital City-Flat-3-bed</v>
      </c>
      <c r="J6" s="174" t="s">
        <v>171</v>
      </c>
      <c r="K6" s="174" t="s">
        <v>175</v>
      </c>
      <c r="L6" s="174" t="s">
        <v>8</v>
      </c>
      <c r="M6" s="174">
        <v>1.3066666666666666</v>
      </c>
      <c r="N6" s="174"/>
      <c r="O6" s="174" t="str">
        <f t="shared" si="1"/>
        <v>ACT-Regional City-Flat</v>
      </c>
      <c r="P6" s="174" t="s">
        <v>162</v>
      </c>
      <c r="Q6" s="174" t="s">
        <v>172</v>
      </c>
      <c r="R6" s="174" t="s">
        <v>175</v>
      </c>
      <c r="S6" s="174">
        <f>ROUND(VLOOKUP('Green+Social Interface'!$I$38,'Look-ups'!$A$15:$C$43,3,0)*T6,0)</f>
        <v>506</v>
      </c>
      <c r="T6" s="174">
        <v>470</v>
      </c>
      <c r="U6" s="174"/>
      <c r="Y6" s="175" t="str">
        <f t="shared" si="2"/>
        <v>ACT-Regional City-Lone Person</v>
      </c>
      <c r="Z6" s="175" t="s">
        <v>162</v>
      </c>
      <c r="AA6" s="175" t="s">
        <v>172</v>
      </c>
      <c r="AB6" s="175" t="s">
        <v>224</v>
      </c>
      <c r="AC6" s="175">
        <f>VLOOKUP('Green+Social Interface'!$I$38,'Look-ups'!$A$15:$C$43,2,0)*86</f>
        <v>92.02000000000001</v>
      </c>
      <c r="AD6" s="175">
        <f>VLOOKUP('Green+Social Interface'!$I$38,'Look-ups'!$A$15:$C$43,2,0)*123</f>
        <v>131.61000000000001</v>
      </c>
      <c r="AE6" s="175">
        <f>VLOOKUP('Green+Social Interface'!$I$38,'Look-ups'!$A$15:$C$43,2,0)*147</f>
        <v>157.29000000000002</v>
      </c>
      <c r="AF6" s="175">
        <f>VLOOKUP('Green+Social Interface'!$I$38,'Look-ups'!$A$15:$C$43,2,0)*180</f>
        <v>192.60000000000002</v>
      </c>
      <c r="AG6" s="175">
        <f>VLOOKUP('Green+Social Interface'!$I$38,'Look-ups'!$A$15:$C$43,2,0)*171</f>
        <v>182.97</v>
      </c>
      <c r="AI6" t="s">
        <v>1101</v>
      </c>
    </row>
    <row r="7" spans="1:36" x14ac:dyDescent="0.25">
      <c r="A7">
        <v>30</v>
      </c>
      <c r="E7" s="173" t="s">
        <v>166</v>
      </c>
      <c r="G7" s="174"/>
      <c r="H7" s="174"/>
      <c r="I7" s="174" t="str">
        <f t="shared" si="0"/>
        <v>Capital City-Flat-4-bed</v>
      </c>
      <c r="J7" s="174" t="s">
        <v>171</v>
      </c>
      <c r="K7" s="174" t="s">
        <v>175</v>
      </c>
      <c r="L7" s="174" t="s">
        <v>9</v>
      </c>
      <c r="M7" s="174">
        <v>1.4666666666666666</v>
      </c>
      <c r="N7" s="174"/>
      <c r="O7" s="174" t="str">
        <f t="shared" si="1"/>
        <v>NSW-Capital City-House</v>
      </c>
      <c r="P7" s="174" t="s">
        <v>163</v>
      </c>
      <c r="Q7" s="174" t="s">
        <v>171</v>
      </c>
      <c r="R7" s="174" t="s">
        <v>135</v>
      </c>
      <c r="S7" s="174">
        <f>ROUND(VLOOKUP('Green+Social Interface'!$I$38,'Look-ups'!$A$15:$C$43,3,0)*T7,0)</f>
        <v>398</v>
      </c>
      <c r="T7" s="174">
        <v>370</v>
      </c>
      <c r="U7" s="174" t="s">
        <v>183</v>
      </c>
      <c r="Y7" s="175" t="str">
        <f t="shared" si="2"/>
        <v>ACT-Regional City-Couple Only</v>
      </c>
      <c r="Z7" s="175" t="s">
        <v>162</v>
      </c>
      <c r="AA7" s="175" t="s">
        <v>172</v>
      </c>
      <c r="AB7" s="175" t="s">
        <v>220</v>
      </c>
      <c r="AC7" s="175">
        <f>VLOOKUP('Green+Social Interface'!$I$38,'Look-ups'!$A$15:$C$43,2,0)*139</f>
        <v>148.73000000000002</v>
      </c>
      <c r="AD7" s="175">
        <f>VLOOKUP('Green+Social Interface'!$I$38,'Look-ups'!$A$15:$C$43,2,0)*131</f>
        <v>140.17000000000002</v>
      </c>
      <c r="AE7" s="175">
        <f>VLOOKUP('Green+Social Interface'!$I$38,'Look-ups'!$A$15:$C$43,2,0)*148</f>
        <v>158.36000000000001</v>
      </c>
      <c r="AF7" s="175">
        <f>VLOOKUP('Green+Social Interface'!$I$38,'Look-ups'!$A$15:$C$43,2,0)*164</f>
        <v>175.48000000000002</v>
      </c>
      <c r="AG7" s="175">
        <f>VLOOKUP('Green+Social Interface'!$I$38,'Look-ups'!$A$15:$C$43,2,0)*206</f>
        <v>220.42000000000002</v>
      </c>
      <c r="AI7" t="s">
        <v>1103</v>
      </c>
    </row>
    <row r="8" spans="1:36" x14ac:dyDescent="0.25">
      <c r="A8">
        <v>35</v>
      </c>
      <c r="E8" s="173" t="s">
        <v>167</v>
      </c>
      <c r="G8" s="174"/>
      <c r="H8" s="174"/>
      <c r="I8" s="174" t="str">
        <f t="shared" si="0"/>
        <v>Capital City-House-1-bed</v>
      </c>
      <c r="J8" s="174" t="s">
        <v>171</v>
      </c>
      <c r="K8" s="174" t="s">
        <v>135</v>
      </c>
      <c r="L8" s="174" t="s">
        <v>6</v>
      </c>
      <c r="M8" s="174">
        <v>0.69444444444444442</v>
      </c>
      <c r="N8" s="174"/>
      <c r="O8" s="174" t="str">
        <f t="shared" si="1"/>
        <v>NSW-Capital City-Flat</v>
      </c>
      <c r="P8" s="174" t="s">
        <v>163</v>
      </c>
      <c r="Q8" s="174" t="s">
        <v>171</v>
      </c>
      <c r="R8" s="174" t="s">
        <v>175</v>
      </c>
      <c r="S8" s="174">
        <f>ROUND(VLOOKUP('Green+Social Interface'!$I$38,'Look-ups'!$A$15:$C$43,3,0)*T8,0)</f>
        <v>404</v>
      </c>
      <c r="T8" s="174">
        <v>375</v>
      </c>
      <c r="U8" s="174"/>
      <c r="Y8" s="175" t="str">
        <f t="shared" si="2"/>
        <v>NSW-Capital City-Lone Person</v>
      </c>
      <c r="Z8" s="175" t="s">
        <v>163</v>
      </c>
      <c r="AA8" s="175" t="s">
        <v>171</v>
      </c>
      <c r="AB8" s="175" t="s">
        <v>224</v>
      </c>
      <c r="AC8" s="175">
        <f>VLOOKUP('Green+Social Interface'!$I$38,'Look-ups'!$A$15:$C$43,2,0)*89</f>
        <v>95.23</v>
      </c>
      <c r="AD8" s="175">
        <f>VLOOKUP('Green+Social Interface'!$I$38,'Look-ups'!$A$15:$C$43,2,0)*127</f>
        <v>135.89000000000001</v>
      </c>
      <c r="AE8" s="175">
        <f>VLOOKUP('Green+Social Interface'!$I$38,'Look-ups'!$A$15:$C$43,2,0)*152</f>
        <v>162.64000000000001</v>
      </c>
      <c r="AF8" s="175">
        <f>VLOOKUP('Green+Social Interface'!$I$38,'Look-ups'!$A$15:$C$43,2,0)*186</f>
        <v>199.02</v>
      </c>
      <c r="AG8" s="175">
        <f>VLOOKUP('Green+Social Interface'!$I$38,'Look-ups'!$A$15:$C$43,2,0)*177</f>
        <v>189.39000000000001</v>
      </c>
    </row>
    <row r="9" spans="1:36" x14ac:dyDescent="0.25">
      <c r="A9">
        <v>40</v>
      </c>
      <c r="E9" s="173" t="s">
        <v>168</v>
      </c>
      <c r="G9" s="174"/>
      <c r="H9" s="174"/>
      <c r="I9" s="174" t="str">
        <f t="shared" si="0"/>
        <v>Capital City-House-2-bed</v>
      </c>
      <c r="J9" s="174" t="s">
        <v>171</v>
      </c>
      <c r="K9" s="174" t="s">
        <v>135</v>
      </c>
      <c r="L9" s="174" t="s">
        <v>7</v>
      </c>
      <c r="M9" s="174">
        <v>1</v>
      </c>
      <c r="N9" s="174"/>
      <c r="O9" s="174" t="str">
        <f t="shared" si="1"/>
        <v>NSW-Regional City-House</v>
      </c>
      <c r="P9" s="174" t="s">
        <v>163</v>
      </c>
      <c r="Q9" s="174" t="s">
        <v>172</v>
      </c>
      <c r="R9" s="174" t="s">
        <v>135</v>
      </c>
      <c r="S9" s="174">
        <f>ROUND(VLOOKUP('Green+Social Interface'!$I$38,'Look-ups'!$A$15:$C$43,3,0)*T9,0)</f>
        <v>474</v>
      </c>
      <c r="T9" s="174">
        <v>440</v>
      </c>
      <c r="U9" s="174" t="s">
        <v>184</v>
      </c>
      <c r="Y9" s="175" t="str">
        <f t="shared" si="2"/>
        <v>NSW-Capital City-Couple Only</v>
      </c>
      <c r="Z9" s="175" t="s">
        <v>163</v>
      </c>
      <c r="AA9" s="175" t="s">
        <v>171</v>
      </c>
      <c r="AB9" s="175" t="s">
        <v>220</v>
      </c>
      <c r="AC9" s="175">
        <f>VLOOKUP('Green+Social Interface'!$I$38,'Look-ups'!$A$15:$C$43,2,0)*144</f>
        <v>154.08000000000001</v>
      </c>
      <c r="AD9" s="175">
        <f>VLOOKUP('Green+Social Interface'!$I$38,'Look-ups'!$A$15:$C$43,2,0)*136</f>
        <v>145.52000000000001</v>
      </c>
      <c r="AE9" s="175">
        <f>VLOOKUP('Green+Social Interface'!$I$38,'Look-ups'!$A$15:$C$43,2,0)*154</f>
        <v>164.78</v>
      </c>
      <c r="AF9" s="175">
        <f>VLOOKUP('Green+Social Interface'!$I$38,'Look-ups'!$A$15:$C$43,2,0)*170</f>
        <v>181.9</v>
      </c>
      <c r="AG9" s="175">
        <f>VLOOKUP('Green+Social Interface'!$I$38,'Look-ups'!$A$15:$C$43,2,0)*214</f>
        <v>228.98000000000002</v>
      </c>
    </row>
    <row r="10" spans="1:36" x14ac:dyDescent="0.25">
      <c r="E10" s="173" t="s">
        <v>169</v>
      </c>
      <c r="G10" s="174"/>
      <c r="H10" s="174"/>
      <c r="I10" s="174" t="str">
        <f t="shared" si="0"/>
        <v>Capital City-House-3-bed</v>
      </c>
      <c r="J10" s="174" t="s">
        <v>171</v>
      </c>
      <c r="K10" s="174" t="s">
        <v>135</v>
      </c>
      <c r="L10" s="174" t="s">
        <v>8</v>
      </c>
      <c r="M10" s="174">
        <v>1.2222222222222223</v>
      </c>
      <c r="N10" s="174"/>
      <c r="O10" s="174" t="str">
        <f t="shared" si="1"/>
        <v>NSW-Regional City-Flat</v>
      </c>
      <c r="P10" s="174" t="s">
        <v>163</v>
      </c>
      <c r="Q10" s="174" t="s">
        <v>172</v>
      </c>
      <c r="R10" s="174" t="s">
        <v>175</v>
      </c>
      <c r="S10" s="174">
        <f>ROUND(VLOOKUP('Green+Social Interface'!$I$38,'Look-ups'!$A$15:$C$43,3,0)*T10,0)</f>
        <v>420</v>
      </c>
      <c r="T10" s="174">
        <v>390</v>
      </c>
      <c r="U10" s="174"/>
      <c r="Y10" s="175" t="str">
        <f t="shared" si="2"/>
        <v>NSW-Regional City-Lone Person</v>
      </c>
      <c r="Z10" s="175" t="s">
        <v>163</v>
      </c>
      <c r="AA10" s="175" t="s">
        <v>172</v>
      </c>
      <c r="AB10" s="175" t="s">
        <v>224</v>
      </c>
      <c r="AC10" s="175">
        <f>VLOOKUP('Green+Social Interface'!$I$38,'Look-ups'!$A$15:$C$43,2,0)*100</f>
        <v>107</v>
      </c>
      <c r="AD10" s="175">
        <f>VLOOKUP('Green+Social Interface'!$I$38,'Look-ups'!$A$15:$C$43,2,0)*143</f>
        <v>153.01000000000002</v>
      </c>
      <c r="AE10" s="175">
        <f>VLOOKUP('Green+Social Interface'!$I$38,'Look-ups'!$A$15:$C$43,2,0)*171</f>
        <v>182.97</v>
      </c>
      <c r="AF10" s="175">
        <f>VLOOKUP('Green+Social Interface'!$I$38,'Look-ups'!$A$15:$C$43,2,0)*209</f>
        <v>223.63000000000002</v>
      </c>
      <c r="AG10" s="175">
        <f>VLOOKUP('Green+Social Interface'!$I$38,'Look-ups'!$A$15:$C$43,2,0)*199</f>
        <v>212.93</v>
      </c>
    </row>
    <row r="11" spans="1:36" x14ac:dyDescent="0.25">
      <c r="G11" s="174"/>
      <c r="H11" s="174"/>
      <c r="I11" s="174" t="str">
        <f t="shared" si="0"/>
        <v>Capital City-House-4-bed</v>
      </c>
      <c r="J11" s="174" t="s">
        <v>171</v>
      </c>
      <c r="K11" s="174" t="s">
        <v>135</v>
      </c>
      <c r="L11" s="174" t="s">
        <v>9</v>
      </c>
      <c r="M11" s="174">
        <v>1.5555555555555556</v>
      </c>
      <c r="N11" s="174"/>
      <c r="O11" s="174" t="str">
        <f t="shared" si="1"/>
        <v>NT-Capital City-House</v>
      </c>
      <c r="P11" s="174" t="s">
        <v>164</v>
      </c>
      <c r="Q11" s="174" t="s">
        <v>171</v>
      </c>
      <c r="R11" s="174" t="s">
        <v>135</v>
      </c>
      <c r="S11" s="174">
        <f>ROUND(VLOOKUP('Green+Social Interface'!$I$38,'Look-ups'!$A$15:$C$43,3,0)*T11,0)</f>
        <v>424</v>
      </c>
      <c r="T11" s="174">
        <v>394</v>
      </c>
      <c r="U11" s="174" t="s">
        <v>185</v>
      </c>
      <c r="Y11" s="175" t="str">
        <f t="shared" si="2"/>
        <v>NSW-Regional City-Couple Only</v>
      </c>
      <c r="Z11" s="175" t="s">
        <v>163</v>
      </c>
      <c r="AA11" s="175" t="s">
        <v>172</v>
      </c>
      <c r="AB11" s="175" t="s">
        <v>220</v>
      </c>
      <c r="AC11" s="175">
        <f>VLOOKUP('Green+Social Interface'!$I$38,'Look-ups'!$A$15:$C$43,2,0)*162</f>
        <v>173.34</v>
      </c>
      <c r="AD11" s="175">
        <f>VLOOKUP('Green+Social Interface'!$I$38,'Look-ups'!$A$15:$C$43,2,0)*153</f>
        <v>163.71</v>
      </c>
      <c r="AE11" s="175">
        <f>VLOOKUP('Green+Social Interface'!$I$38,'Look-ups'!$A$15:$C$43,2,0)*173</f>
        <v>185.11</v>
      </c>
      <c r="AF11" s="175">
        <f>VLOOKUP('Green+Social Interface'!$I$38,'Look-ups'!$A$15:$C$43,2,0)*191</f>
        <v>204.37</v>
      </c>
      <c r="AG11" s="175">
        <f>VLOOKUP('Green+Social Interface'!$I$38,'Look-ups'!$A$15:$C$43,2,0)*240</f>
        <v>256.8</v>
      </c>
    </row>
    <row r="12" spans="1:36" x14ac:dyDescent="0.25">
      <c r="G12" s="174"/>
      <c r="H12" s="174"/>
      <c r="I12" s="174" t="str">
        <f t="shared" si="0"/>
        <v>Capital City-House-5-bed</v>
      </c>
      <c r="J12" s="174" t="s">
        <v>171</v>
      </c>
      <c r="K12" s="174" t="s">
        <v>135</v>
      </c>
      <c r="L12" s="174" t="s">
        <v>11</v>
      </c>
      <c r="M12" s="174">
        <v>1.875</v>
      </c>
      <c r="N12" s="174"/>
      <c r="O12" s="174" t="str">
        <f t="shared" si="1"/>
        <v>NT-Capital City-Flat</v>
      </c>
      <c r="P12" s="174" t="s">
        <v>164</v>
      </c>
      <c r="Q12" s="174" t="s">
        <v>171</v>
      </c>
      <c r="R12" s="174" t="s">
        <v>175</v>
      </c>
      <c r="S12" s="174">
        <f>ROUND(VLOOKUP('Green+Social Interface'!$I$38,'Look-ups'!$A$15:$C$43,3,0)*T12,0)</f>
        <v>401</v>
      </c>
      <c r="T12" s="174">
        <v>372</v>
      </c>
      <c r="U12" s="174" t="s">
        <v>186</v>
      </c>
      <c r="Y12" s="175" t="str">
        <f t="shared" si="2"/>
        <v>NT-Capital City-Lone Person</v>
      </c>
      <c r="Z12" s="175" t="s">
        <v>164</v>
      </c>
      <c r="AA12" s="175" t="s">
        <v>171</v>
      </c>
      <c r="AB12" s="175" t="s">
        <v>224</v>
      </c>
      <c r="AC12" s="175">
        <f>VLOOKUP('Green+Social Interface'!$I$38,'Look-ups'!$A$15:$C$43,2,0)*123</f>
        <v>131.61000000000001</v>
      </c>
      <c r="AD12" s="175">
        <f>VLOOKUP('Green+Social Interface'!$I$38,'Look-ups'!$A$15:$C$43,2,0)*176</f>
        <v>188.32000000000002</v>
      </c>
      <c r="AE12" s="175">
        <f>VLOOKUP('Green+Social Interface'!$I$38,'Look-ups'!$A$15:$C$43,2,0)*211</f>
        <v>225.77</v>
      </c>
      <c r="AF12" s="175">
        <f>VLOOKUP('Green+Social Interface'!$I$38,'Look-ups'!$A$15:$C$43,2,0)*258</f>
        <v>276.06</v>
      </c>
      <c r="AG12" s="175">
        <f>VLOOKUP('Green+Social Interface'!$I$38,'Look-ups'!$A$15:$C$43,2,0)*245</f>
        <v>262.15000000000003</v>
      </c>
    </row>
    <row r="13" spans="1:36" x14ac:dyDescent="0.25">
      <c r="B13" s="118" t="s">
        <v>1142</v>
      </c>
      <c r="G13" s="174"/>
      <c r="H13" s="174"/>
      <c r="I13" s="174" t="str">
        <f t="shared" si="0"/>
        <v>Capital City-House-6-bed</v>
      </c>
      <c r="J13" s="174" t="s">
        <v>171</v>
      </c>
      <c r="K13" s="174" t="s">
        <v>135</v>
      </c>
      <c r="L13" s="174" t="s">
        <v>174</v>
      </c>
      <c r="M13" s="174">
        <v>2.0833333333333335</v>
      </c>
      <c r="N13" s="174"/>
      <c r="O13" s="174" t="str">
        <f t="shared" si="1"/>
        <v>NT-Regional City-House</v>
      </c>
      <c r="P13" s="174" t="s">
        <v>164</v>
      </c>
      <c r="Q13" s="174" t="s">
        <v>172</v>
      </c>
      <c r="R13" s="174" t="s">
        <v>135</v>
      </c>
      <c r="S13" s="174">
        <f>ROUND(VLOOKUP('Green+Social Interface'!$I$38,'Look-ups'!$A$15:$C$43,3,0)*T13,0)</f>
        <v>440</v>
      </c>
      <c r="T13" s="174">
        <v>409</v>
      </c>
      <c r="U13" s="174" t="s">
        <v>187</v>
      </c>
      <c r="Y13" s="175" t="str">
        <f t="shared" si="2"/>
        <v>NT-Capital City-Couple Only</v>
      </c>
      <c r="Z13" s="175" t="s">
        <v>164</v>
      </c>
      <c r="AA13" s="175" t="s">
        <v>171</v>
      </c>
      <c r="AB13" s="175" t="s">
        <v>220</v>
      </c>
      <c r="AC13" s="175">
        <f>VLOOKUP('Green+Social Interface'!$I$38,'Look-ups'!$A$15:$C$43,2,0)*199</f>
        <v>212.93</v>
      </c>
      <c r="AD13" s="175">
        <f>VLOOKUP('Green+Social Interface'!$I$38,'Look-ups'!$A$15:$C$43,2,0)*189</f>
        <v>202.23000000000002</v>
      </c>
      <c r="AE13" s="175">
        <f>VLOOKUP('Green+Social Interface'!$I$38,'Look-ups'!$A$15:$C$43,2,0)*213</f>
        <v>227.91000000000003</v>
      </c>
      <c r="AF13" s="175">
        <f>VLOOKUP('Green+Social Interface'!$I$38,'Look-ups'!$A$15:$C$43,2,0)*236</f>
        <v>252.52</v>
      </c>
      <c r="AG13" s="175">
        <f>VLOOKUP('Green+Social Interface'!$I$38,'Look-ups'!$A$15:$C$43,2,0)*296</f>
        <v>316.72000000000003</v>
      </c>
    </row>
    <row r="14" spans="1:36" x14ac:dyDescent="0.25">
      <c r="A14" s="175" t="s">
        <v>211</v>
      </c>
      <c r="B14" s="175" t="s">
        <v>937</v>
      </c>
      <c r="C14" t="s">
        <v>1088</v>
      </c>
      <c r="D14" s="177" t="s">
        <v>218</v>
      </c>
      <c r="G14" s="174"/>
      <c r="H14" s="174"/>
      <c r="I14" s="174" t="str">
        <f t="shared" si="0"/>
        <v>Regional City-Flat-Studio</v>
      </c>
      <c r="J14" s="174" t="s">
        <v>172</v>
      </c>
      <c r="K14" s="174" t="s">
        <v>175</v>
      </c>
      <c r="L14" s="174" t="s">
        <v>10</v>
      </c>
      <c r="M14" s="174">
        <v>0.75</v>
      </c>
      <c r="N14" s="174"/>
      <c r="O14" s="174" t="str">
        <f t="shared" si="1"/>
        <v>NT-Regional City-Flat</v>
      </c>
      <c r="P14" s="174" t="s">
        <v>164</v>
      </c>
      <c r="Q14" s="174" t="s">
        <v>172</v>
      </c>
      <c r="R14" s="174" t="s">
        <v>175</v>
      </c>
      <c r="S14" s="174">
        <f>ROUND(VLOOKUP('Green+Social Interface'!$I$38,'Look-ups'!$A$15:$C$43,3,0)*T14,0)</f>
        <v>405</v>
      </c>
      <c r="T14" s="174">
        <v>376</v>
      </c>
      <c r="U14" s="174" t="s">
        <v>188</v>
      </c>
      <c r="Y14" s="175" t="str">
        <f t="shared" si="2"/>
        <v>NT-Regional City-Lone Person</v>
      </c>
      <c r="Z14" s="175" t="s">
        <v>164</v>
      </c>
      <c r="AA14" s="175" t="s">
        <v>172</v>
      </c>
      <c r="AB14" s="175" t="s">
        <v>224</v>
      </c>
      <c r="AC14" s="175">
        <f>VLOOKUP('Green+Social Interface'!$I$38,'Look-ups'!$A$15:$C$43,2,0)*123</f>
        <v>131.61000000000001</v>
      </c>
      <c r="AD14" s="175">
        <f>VLOOKUP('Green+Social Interface'!$I$38,'Look-ups'!$A$15:$C$43,2,0)*176</f>
        <v>188.32000000000002</v>
      </c>
      <c r="AE14" s="175">
        <f>VLOOKUP('Green+Social Interface'!$I$38,'Look-ups'!$A$15:$C$43,2,0)*211</f>
        <v>225.77</v>
      </c>
      <c r="AF14" s="175">
        <f>VLOOKUP('Green+Social Interface'!$I$38,'Look-ups'!$A$15:$C$43,2,0)*258</f>
        <v>276.06</v>
      </c>
      <c r="AG14" s="175">
        <f>VLOOKUP('Green+Social Interface'!$I$38,'Look-ups'!$A$15:$C$43,2,0)*245</f>
        <v>262.15000000000003</v>
      </c>
    </row>
    <row r="15" spans="1:36" x14ac:dyDescent="0.25">
      <c r="A15" s="175">
        <v>2022</v>
      </c>
      <c r="B15" s="175">
        <v>1</v>
      </c>
      <c r="C15">
        <v>1</v>
      </c>
      <c r="D15" s="178"/>
      <c r="G15" s="174"/>
      <c r="H15" s="174"/>
      <c r="I15" s="174" t="str">
        <f t="shared" si="0"/>
        <v>Regional City-Flat-1-bed</v>
      </c>
      <c r="J15" s="174" t="s">
        <v>172</v>
      </c>
      <c r="K15" s="174" t="s">
        <v>175</v>
      </c>
      <c r="L15" s="174" t="s">
        <v>6</v>
      </c>
      <c r="M15" s="174">
        <v>0.75</v>
      </c>
      <c r="N15" s="174"/>
      <c r="O15" s="174" t="str">
        <f t="shared" si="1"/>
        <v>Qld-Capital City-House</v>
      </c>
      <c r="P15" s="174" t="s">
        <v>165</v>
      </c>
      <c r="Q15" s="174" t="s">
        <v>171</v>
      </c>
      <c r="R15" s="174" t="s">
        <v>135</v>
      </c>
      <c r="S15" s="174">
        <f>ROUND(VLOOKUP('Green+Social Interface'!$I$38,'Look-ups'!$A$15:$C$43,3,0)*T15,0)</f>
        <v>323</v>
      </c>
      <c r="T15" s="174">
        <v>300</v>
      </c>
      <c r="U15" s="174" t="s">
        <v>189</v>
      </c>
      <c r="Y15" s="175" t="str">
        <f t="shared" si="2"/>
        <v>NT-Regional City-Couple Only</v>
      </c>
      <c r="Z15" s="175" t="s">
        <v>164</v>
      </c>
      <c r="AA15" s="175" t="s">
        <v>172</v>
      </c>
      <c r="AB15" s="175" t="s">
        <v>220</v>
      </c>
      <c r="AC15" s="175">
        <f>VLOOKUP('Green+Social Interface'!$I$38,'Look-ups'!$A$15:$C$43,2,0)*199</f>
        <v>212.93</v>
      </c>
      <c r="AD15" s="175">
        <f>VLOOKUP('Green+Social Interface'!$I$38,'Look-ups'!$A$15:$C$43,2,0)*189</f>
        <v>202.23000000000002</v>
      </c>
      <c r="AE15" s="175">
        <f>VLOOKUP('Green+Social Interface'!$I$38,'Look-ups'!$A$15:$C$43,2,0)*213</f>
        <v>227.91000000000003</v>
      </c>
      <c r="AF15" s="175">
        <f>VLOOKUP('Green+Social Interface'!$I$38,'Look-ups'!$A$15:$C$43,2,0)*236</f>
        <v>252.52</v>
      </c>
      <c r="AG15" s="175">
        <f>VLOOKUP('Green+Social Interface'!$I$38,'Look-ups'!$A$15:$C$43,2,0)*296</f>
        <v>316.72000000000003</v>
      </c>
    </row>
    <row r="16" spans="1:36" x14ac:dyDescent="0.25">
      <c r="A16" s="175">
        <v>2023</v>
      </c>
      <c r="B16" s="433">
        <v>1.07</v>
      </c>
      <c r="C16" s="287">
        <v>1.077</v>
      </c>
      <c r="D16" s="178">
        <v>1</v>
      </c>
      <c r="G16" s="174"/>
      <c r="H16" s="174"/>
      <c r="I16" s="174" t="str">
        <f t="shared" si="0"/>
        <v>Regional City-Flat-2-bed</v>
      </c>
      <c r="J16" s="174" t="s">
        <v>172</v>
      </c>
      <c r="K16" s="174" t="s">
        <v>175</v>
      </c>
      <c r="L16" s="174" t="s">
        <v>7</v>
      </c>
      <c r="M16" s="174">
        <v>1</v>
      </c>
      <c r="N16" s="174"/>
      <c r="O16" s="174" t="str">
        <f t="shared" si="1"/>
        <v>Qld-Capital City-Flat</v>
      </c>
      <c r="P16" s="174" t="s">
        <v>165</v>
      </c>
      <c r="Q16" s="174" t="s">
        <v>171</v>
      </c>
      <c r="R16" s="174" t="s">
        <v>175</v>
      </c>
      <c r="S16" s="174">
        <f>ROUND(VLOOKUP('Green+Social Interface'!$I$38,'Look-ups'!$A$15:$C$43,3,0)*T16,0)</f>
        <v>302</v>
      </c>
      <c r="T16" s="174">
        <v>280</v>
      </c>
      <c r="U16" s="174"/>
      <c r="Y16" s="175" t="str">
        <f t="shared" si="2"/>
        <v>QLD-Capital City-Lone Person</v>
      </c>
      <c r="Z16" s="175" t="s">
        <v>221</v>
      </c>
      <c r="AA16" s="175" t="s">
        <v>171</v>
      </c>
      <c r="AB16" s="175" t="s">
        <v>224</v>
      </c>
      <c r="AC16" s="175">
        <f>VLOOKUP('Green+Social Interface'!$I$38,'Look-ups'!$A$15:$C$43,2,0)*119</f>
        <v>127.33000000000001</v>
      </c>
      <c r="AD16" s="175">
        <f>VLOOKUP('Green+Social Interface'!$I$38,'Look-ups'!$A$15:$C$43,2,0)*170</f>
        <v>181.9</v>
      </c>
      <c r="AE16" s="175">
        <f>VLOOKUP('Green+Social Interface'!$I$38,'Look-ups'!$A$15:$C$43,2,0)*203</f>
        <v>217.21</v>
      </c>
      <c r="AF16" s="175">
        <f>VLOOKUP('Green+Social Interface'!$I$38,'Look-ups'!$A$15:$C$43,2,0)*249</f>
        <v>266.43</v>
      </c>
      <c r="AG16" s="175">
        <f>VLOOKUP('Green+Social Interface'!$I$38,'Look-ups'!$A$15:$C$43,2,0)*236</f>
        <v>252.52</v>
      </c>
    </row>
    <row r="17" spans="1:33" x14ac:dyDescent="0.25">
      <c r="A17" s="175">
        <v>2024</v>
      </c>
      <c r="B17" s="433">
        <f>B16+0.042</f>
        <v>1.1120000000000001</v>
      </c>
      <c r="C17" s="435">
        <f>C16+0.068</f>
        <v>1.145</v>
      </c>
      <c r="D17" s="178">
        <v>1.5</v>
      </c>
      <c r="G17" s="174"/>
      <c r="H17" s="174"/>
      <c r="I17" s="174" t="str">
        <f t="shared" si="0"/>
        <v>Regional City-Flat-3-bed</v>
      </c>
      <c r="J17" s="174" t="s">
        <v>172</v>
      </c>
      <c r="K17" s="174" t="s">
        <v>175</v>
      </c>
      <c r="L17" s="174" t="s">
        <v>8</v>
      </c>
      <c r="M17" s="174">
        <v>1.2857142857142858</v>
      </c>
      <c r="N17" s="174"/>
      <c r="O17" s="174" t="str">
        <f t="shared" si="1"/>
        <v>Qld-Regional City-House</v>
      </c>
      <c r="P17" s="174" t="s">
        <v>165</v>
      </c>
      <c r="Q17" s="174" t="s">
        <v>172</v>
      </c>
      <c r="R17" s="174" t="s">
        <v>135</v>
      </c>
      <c r="S17" s="174">
        <f>ROUND(VLOOKUP('Green+Social Interface'!$I$38,'Look-ups'!$A$15:$C$43,3,0)*T17,0)</f>
        <v>302</v>
      </c>
      <c r="T17" s="174">
        <v>280</v>
      </c>
      <c r="U17" s="174" t="s">
        <v>190</v>
      </c>
      <c r="Y17" s="175" t="str">
        <f t="shared" si="2"/>
        <v>QLD-Capital City-Couple Only</v>
      </c>
      <c r="Z17" s="175" t="s">
        <v>221</v>
      </c>
      <c r="AA17" s="175" t="s">
        <v>171</v>
      </c>
      <c r="AB17" s="175" t="s">
        <v>220</v>
      </c>
      <c r="AC17" s="175">
        <f>VLOOKUP('Green+Social Interface'!$I$38,'Look-ups'!$A$15:$C$43,2,0)*192</f>
        <v>205.44</v>
      </c>
      <c r="AD17" s="175">
        <f>VLOOKUP('Green+Social Interface'!$I$38,'Look-ups'!$A$15:$C$43,2,0)*182</f>
        <v>194.74</v>
      </c>
      <c r="AE17" s="175">
        <f>VLOOKUP('Green+Social Interface'!$I$38,'Look-ups'!$A$15:$C$43,2,0)*205</f>
        <v>219.35000000000002</v>
      </c>
      <c r="AF17" s="175">
        <f>VLOOKUP('Green+Social Interface'!$I$38,'Look-ups'!$A$15:$C$43,2,0)*227</f>
        <v>242.89000000000001</v>
      </c>
      <c r="AG17" s="175">
        <f>VLOOKUP('Green+Social Interface'!$I$38,'Look-ups'!$A$15:$C$43,2,0)*285</f>
        <v>304.95000000000005</v>
      </c>
    </row>
    <row r="18" spans="1:33" x14ac:dyDescent="0.25">
      <c r="A18" s="175">
        <v>2025</v>
      </c>
      <c r="B18" s="433">
        <f>B17+0.025</f>
        <v>1.137</v>
      </c>
      <c r="C18" s="435">
        <f>C17+0.025</f>
        <v>1.17</v>
      </c>
      <c r="D18" s="178">
        <v>2</v>
      </c>
      <c r="G18" s="174"/>
      <c r="H18" s="174"/>
      <c r="I18" s="174" t="str">
        <f t="shared" si="0"/>
        <v>Regional City-Flat-4-bed</v>
      </c>
      <c r="J18" s="174" t="s">
        <v>172</v>
      </c>
      <c r="K18" s="174" t="s">
        <v>175</v>
      </c>
      <c r="L18" s="174" t="s">
        <v>9</v>
      </c>
      <c r="M18" s="174">
        <v>1.4642857142857142</v>
      </c>
      <c r="N18" s="174"/>
      <c r="O18" s="174" t="str">
        <f t="shared" si="1"/>
        <v>Qld-Regional City-Flat</v>
      </c>
      <c r="P18" s="174" t="s">
        <v>165</v>
      </c>
      <c r="Q18" s="174" t="s">
        <v>172</v>
      </c>
      <c r="R18" s="174" t="s">
        <v>175</v>
      </c>
      <c r="S18" s="174">
        <f>ROUND(VLOOKUP('Green+Social Interface'!$I$38,'Look-ups'!$A$15:$C$43,3,0)*T18,0)</f>
        <v>291</v>
      </c>
      <c r="T18" s="174">
        <v>270</v>
      </c>
      <c r="U18" s="174"/>
      <c r="Y18" s="175" t="str">
        <f t="shared" si="2"/>
        <v>QLD-Regional City-Lone Person</v>
      </c>
      <c r="Z18" s="175" t="s">
        <v>221</v>
      </c>
      <c r="AA18" s="175" t="s">
        <v>172</v>
      </c>
      <c r="AB18" s="175" t="s">
        <v>224</v>
      </c>
      <c r="AC18" s="175">
        <f>VLOOKUP('Green+Social Interface'!$I$38,'Look-ups'!$A$15:$C$43,2,0)*91</f>
        <v>97.37</v>
      </c>
      <c r="AD18" s="175">
        <f>VLOOKUP('Green+Social Interface'!$I$38,'Look-ups'!$A$15:$C$43,2,0)*129</f>
        <v>138.03</v>
      </c>
      <c r="AE18" s="175">
        <f>VLOOKUP('Green+Social Interface'!$I$38,'Look-ups'!$A$15:$C$43,2,0)*155</f>
        <v>165.85000000000002</v>
      </c>
      <c r="AF18" s="175">
        <f>VLOOKUP('Green+Social Interface'!$I$38,'Look-ups'!$A$15:$C$43,2,0)*190</f>
        <v>203.3</v>
      </c>
      <c r="AG18" s="175">
        <f>VLOOKUP('Green+Social Interface'!$I$38,'Look-ups'!$A$15:$C$43,2,0)*180</f>
        <v>192.60000000000002</v>
      </c>
    </row>
    <row r="19" spans="1:33" x14ac:dyDescent="0.25">
      <c r="A19" s="175">
        <v>2026</v>
      </c>
      <c r="B19" s="433">
        <f t="shared" ref="B19:B43" si="3">B18+0.025</f>
        <v>1.1619999999999999</v>
      </c>
      <c r="C19" s="435">
        <f t="shared" ref="C19:C43" si="4">C18+0.025</f>
        <v>1.1949999999999998</v>
      </c>
      <c r="D19" s="178">
        <v>2.5</v>
      </c>
      <c r="G19" s="174"/>
      <c r="H19" s="174"/>
      <c r="I19" s="174" t="str">
        <f t="shared" si="0"/>
        <v>Regional City-House-1-bed</v>
      </c>
      <c r="J19" s="174" t="s">
        <v>172</v>
      </c>
      <c r="K19" s="174" t="s">
        <v>135</v>
      </c>
      <c r="L19" s="174" t="s">
        <v>6</v>
      </c>
      <c r="M19" s="174">
        <v>0.66666666666666663</v>
      </c>
      <c r="N19" s="174"/>
      <c r="O19" s="174" t="str">
        <f t="shared" si="1"/>
        <v>SA-Capital City-House</v>
      </c>
      <c r="P19" s="174" t="s">
        <v>166</v>
      </c>
      <c r="Q19" s="174" t="s">
        <v>171</v>
      </c>
      <c r="R19" s="174" t="s">
        <v>135</v>
      </c>
      <c r="S19" s="174">
        <f>ROUND(VLOOKUP('Green+Social Interface'!$I$38,'Look-ups'!$A$15:$C$43,3,0)*T19,0)</f>
        <v>310</v>
      </c>
      <c r="T19" s="174">
        <v>287.5</v>
      </c>
      <c r="U19" s="174" t="s">
        <v>191</v>
      </c>
      <c r="Y19" s="175" t="str">
        <f t="shared" si="2"/>
        <v>QLD-Regional City-Couple Only</v>
      </c>
      <c r="Z19" s="175" t="s">
        <v>221</v>
      </c>
      <c r="AA19" s="175" t="s">
        <v>172</v>
      </c>
      <c r="AB19" s="175" t="s">
        <v>220</v>
      </c>
      <c r="AC19" s="175">
        <f>VLOOKUP('Green+Social Interface'!$I$38,'Look-ups'!$A$15:$C$43,2,0)*146</f>
        <v>156.22</v>
      </c>
      <c r="AD19" s="175">
        <f>VLOOKUP('Green+Social Interface'!$I$38,'Look-ups'!$A$15:$C$43,2,0)*139</f>
        <v>148.73000000000002</v>
      </c>
      <c r="AE19" s="175">
        <f>VLOOKUP('Green+Social Interface'!$I$38,'Look-ups'!$A$15:$C$43,2,0)*157</f>
        <v>167.99</v>
      </c>
      <c r="AF19" s="175">
        <f>VLOOKUP('Green+Social Interface'!$I$38,'Look-ups'!$A$15:$C$43,2,0)*173</f>
        <v>185.11</v>
      </c>
      <c r="AG19" s="175">
        <f>VLOOKUP('Green+Social Interface'!$I$38,'Look-ups'!$A$15:$C$43,2,0)*217</f>
        <v>232.19000000000003</v>
      </c>
    </row>
    <row r="20" spans="1:33" x14ac:dyDescent="0.25">
      <c r="A20" s="175">
        <v>2027</v>
      </c>
      <c r="B20" s="433">
        <f t="shared" si="3"/>
        <v>1.1869999999999998</v>
      </c>
      <c r="C20" s="435">
        <f t="shared" si="4"/>
        <v>1.2199999999999998</v>
      </c>
      <c r="D20" s="178">
        <v>3</v>
      </c>
      <c r="G20" s="174"/>
      <c r="H20" s="174"/>
      <c r="I20" s="174" t="str">
        <f t="shared" si="0"/>
        <v>Regional City-House-2-bed</v>
      </c>
      <c r="J20" s="174" t="s">
        <v>172</v>
      </c>
      <c r="K20" s="174" t="s">
        <v>135</v>
      </c>
      <c r="L20" s="174" t="s">
        <v>7</v>
      </c>
      <c r="M20" s="174">
        <v>1</v>
      </c>
      <c r="N20" s="174"/>
      <c r="O20" s="174" t="str">
        <f t="shared" si="1"/>
        <v>SA-Capital City-Flat</v>
      </c>
      <c r="P20" s="174" t="s">
        <v>166</v>
      </c>
      <c r="Q20" s="174" t="s">
        <v>171</v>
      </c>
      <c r="R20" s="174" t="s">
        <v>175</v>
      </c>
      <c r="S20" s="174">
        <f>ROUND(VLOOKUP('Green+Social Interface'!$I$38,'Look-ups'!$A$15:$C$43,3,0)*T20,0)</f>
        <v>291</v>
      </c>
      <c r="T20" s="174">
        <v>270</v>
      </c>
      <c r="U20" s="174"/>
      <c r="Y20" s="175" t="str">
        <f t="shared" si="2"/>
        <v>SA-Capital City-Lone Person</v>
      </c>
      <c r="Z20" s="175" t="s">
        <v>166</v>
      </c>
      <c r="AA20" s="175" t="s">
        <v>171</v>
      </c>
      <c r="AB20" s="175" t="s">
        <v>224</v>
      </c>
      <c r="AC20" s="175">
        <f>VLOOKUP('Green+Social Interface'!$I$38,'Look-ups'!$A$15:$C$43,2,0)*91</f>
        <v>97.37</v>
      </c>
      <c r="AD20" s="175">
        <f>VLOOKUP('Green+Social Interface'!$I$38,'Look-ups'!$A$15:$C$43,2,0)*129</f>
        <v>138.03</v>
      </c>
      <c r="AE20" s="175">
        <f>VLOOKUP('Green+Social Interface'!$I$38,'Look-ups'!$A$15:$C$43,2,0)*155</f>
        <v>165.85000000000002</v>
      </c>
      <c r="AF20" s="175">
        <f>VLOOKUP('Green+Social Interface'!$I$38,'Look-ups'!$A$15:$C$43,2,0)*190</f>
        <v>203.3</v>
      </c>
      <c r="AG20" s="175">
        <f>VLOOKUP('Green+Social Interface'!$I$38,'Look-ups'!$A$15:$C$43,2,0)*180</f>
        <v>192.60000000000002</v>
      </c>
    </row>
    <row r="21" spans="1:33" x14ac:dyDescent="0.25">
      <c r="A21" s="175">
        <v>2028</v>
      </c>
      <c r="B21" s="433">
        <f t="shared" si="3"/>
        <v>1.2119999999999997</v>
      </c>
      <c r="C21" s="435">
        <f t="shared" si="4"/>
        <v>1.2449999999999997</v>
      </c>
      <c r="D21" s="178">
        <v>3.5</v>
      </c>
      <c r="G21" s="174"/>
      <c r="H21" s="174"/>
      <c r="I21" s="174" t="str">
        <f t="shared" si="0"/>
        <v>Regional City-House-3-bed</v>
      </c>
      <c r="J21" s="174" t="s">
        <v>172</v>
      </c>
      <c r="K21" s="174" t="s">
        <v>135</v>
      </c>
      <c r="L21" s="174" t="s">
        <v>8</v>
      </c>
      <c r="M21" s="174">
        <v>1.1666666666666667</v>
      </c>
      <c r="N21" s="174"/>
      <c r="O21" s="174" t="str">
        <f t="shared" si="1"/>
        <v>SA-Regional City-House</v>
      </c>
      <c r="P21" s="174" t="s">
        <v>166</v>
      </c>
      <c r="Q21" s="174" t="s">
        <v>172</v>
      </c>
      <c r="R21" s="174" t="s">
        <v>135</v>
      </c>
      <c r="S21" s="174">
        <f>ROUND(VLOOKUP('Green+Social Interface'!$I$38,'Look-ups'!$A$15:$C$43,3,0)*T21,0)</f>
        <v>174</v>
      </c>
      <c r="T21" s="174">
        <v>162</v>
      </c>
      <c r="U21" s="174" t="s">
        <v>192</v>
      </c>
      <c r="Y21" s="175" t="str">
        <f t="shared" si="2"/>
        <v>SA-Capital City-Couple Only</v>
      </c>
      <c r="Z21" s="175" t="s">
        <v>166</v>
      </c>
      <c r="AA21" s="175" t="s">
        <v>171</v>
      </c>
      <c r="AB21" s="175" t="s">
        <v>220</v>
      </c>
      <c r="AC21" s="175">
        <f>VLOOKUP('Green+Social Interface'!$I$38,'Look-ups'!$A$15:$C$43,2,0)*146</f>
        <v>156.22</v>
      </c>
      <c r="AD21" s="175">
        <f>VLOOKUP('Green+Social Interface'!$I$38,'Look-ups'!$A$15:$C$43,2,0)*139</f>
        <v>148.73000000000002</v>
      </c>
      <c r="AE21" s="175">
        <f>VLOOKUP('Green+Social Interface'!$I$38,'Look-ups'!$A$15:$C$43,2,0)*157</f>
        <v>167.99</v>
      </c>
      <c r="AF21" s="175">
        <f>VLOOKUP('Green+Social Interface'!$I$38,'Look-ups'!$A$15:$C$43,2,0)*173</f>
        <v>185.11</v>
      </c>
      <c r="AG21" s="175">
        <f>VLOOKUP('Green+Social Interface'!$I$38,'Look-ups'!$A$15:$C$43,2,0)*217</f>
        <v>232.19000000000003</v>
      </c>
    </row>
    <row r="22" spans="1:33" x14ac:dyDescent="0.25">
      <c r="A22" s="175">
        <v>2029</v>
      </c>
      <c r="B22" s="433">
        <f t="shared" si="3"/>
        <v>1.2369999999999997</v>
      </c>
      <c r="C22" s="435">
        <f t="shared" si="4"/>
        <v>1.2699999999999996</v>
      </c>
      <c r="D22" s="178">
        <v>4</v>
      </c>
      <c r="G22" s="174"/>
      <c r="H22" s="174"/>
      <c r="I22" s="174" t="str">
        <f t="shared" si="0"/>
        <v>Regional City-House-4-bed</v>
      </c>
      <c r="J22" s="174" t="s">
        <v>172</v>
      </c>
      <c r="K22" s="174" t="s">
        <v>135</v>
      </c>
      <c r="L22" s="174" t="s">
        <v>9</v>
      </c>
      <c r="M22" s="174">
        <v>1.5</v>
      </c>
      <c r="N22" s="174"/>
      <c r="O22" s="174" t="str">
        <f t="shared" si="1"/>
        <v>SA-Regional City-Flat</v>
      </c>
      <c r="P22" s="174" t="s">
        <v>166</v>
      </c>
      <c r="Q22" s="174" t="s">
        <v>172</v>
      </c>
      <c r="R22" s="174" t="s">
        <v>175</v>
      </c>
      <c r="S22" s="174">
        <f>ROUND(VLOOKUP('Green+Social Interface'!$I$38,'Look-ups'!$A$15:$C$43,3,0)*T22,0)</f>
        <v>207</v>
      </c>
      <c r="T22" s="174">
        <v>192.5</v>
      </c>
      <c r="U22" s="174"/>
      <c r="Y22" s="175" t="str">
        <f t="shared" si="2"/>
        <v>SA-Regional City-Lone Person</v>
      </c>
      <c r="Z22" s="175" t="s">
        <v>166</v>
      </c>
      <c r="AA22" s="175" t="s">
        <v>172</v>
      </c>
      <c r="AB22" s="175" t="s">
        <v>224</v>
      </c>
      <c r="AC22" s="175">
        <f>VLOOKUP('Green+Social Interface'!$I$38,'Look-ups'!$A$15:$C$43,2,0)*87</f>
        <v>93.09</v>
      </c>
      <c r="AD22" s="175">
        <f>VLOOKUP('Green+Social Interface'!$I$38,'Look-ups'!$A$15:$C$43,2,0)*125</f>
        <v>133.75</v>
      </c>
      <c r="AE22" s="175">
        <f>VLOOKUP('Green+Social Interface'!$I$38,'Look-ups'!$A$15:$C$43,2,0)*150</f>
        <v>160.5</v>
      </c>
      <c r="AF22" s="175">
        <f>VLOOKUP('Green+Social Interface'!$I$38,'Look-ups'!$A$15:$C$43,2,0)*183</f>
        <v>195.81</v>
      </c>
      <c r="AG22" s="175">
        <f>VLOOKUP('Green+Social Interface'!$I$38,'Look-ups'!$A$15:$C$43,2,0)*174</f>
        <v>186.18</v>
      </c>
    </row>
    <row r="23" spans="1:33" x14ac:dyDescent="0.25">
      <c r="A23" s="175">
        <v>2030</v>
      </c>
      <c r="B23" s="433">
        <f t="shared" si="3"/>
        <v>1.2619999999999996</v>
      </c>
      <c r="C23" s="435">
        <f t="shared" si="4"/>
        <v>1.2949999999999995</v>
      </c>
      <c r="D23" s="178">
        <v>4.5</v>
      </c>
      <c r="G23" s="174"/>
      <c r="H23" s="174"/>
      <c r="I23" s="174" t="str">
        <f t="shared" si="0"/>
        <v>Regional City-House-5-bed</v>
      </c>
      <c r="J23" s="174" t="s">
        <v>172</v>
      </c>
      <c r="K23" s="174" t="s">
        <v>135</v>
      </c>
      <c r="L23" s="174" t="s">
        <v>11</v>
      </c>
      <c r="M23" s="174">
        <v>1.6666666666666667</v>
      </c>
      <c r="N23" s="174"/>
      <c r="O23" s="174" t="str">
        <f t="shared" si="1"/>
        <v>Tas-Capital City-House</v>
      </c>
      <c r="P23" s="174" t="s">
        <v>167</v>
      </c>
      <c r="Q23" s="174" t="s">
        <v>171</v>
      </c>
      <c r="R23" s="174" t="s">
        <v>135</v>
      </c>
      <c r="S23" s="174">
        <f>ROUND(VLOOKUP('Green+Social Interface'!$I$38,'Look-ups'!$A$15:$C$43,3,0)*T23,0)</f>
        <v>420</v>
      </c>
      <c r="T23" s="174">
        <v>390</v>
      </c>
      <c r="U23" s="174" t="s">
        <v>193</v>
      </c>
      <c r="Y23" s="175" t="str">
        <f t="shared" si="2"/>
        <v>SA-Regional City-Couple Only</v>
      </c>
      <c r="Z23" s="175" t="s">
        <v>166</v>
      </c>
      <c r="AA23" s="175" t="s">
        <v>172</v>
      </c>
      <c r="AB23" s="175" t="s">
        <v>220</v>
      </c>
      <c r="AC23" s="175">
        <f>VLOOKUP('Green+Social Interface'!$I$38,'Look-ups'!$A$15:$C$43,2,0)*141</f>
        <v>150.87</v>
      </c>
      <c r="AD23" s="175">
        <f>VLOOKUP('Green+Social Interface'!$I$38,'Look-ups'!$A$15:$C$43,2,0)*134</f>
        <v>143.38</v>
      </c>
      <c r="AE23" s="175">
        <f>VLOOKUP('Green+Social Interface'!$I$38,'Look-ups'!$A$15:$C$43,2,0)*151</f>
        <v>161.57000000000002</v>
      </c>
      <c r="AF23" s="175">
        <f>VLOOKUP('Green+Social Interface'!$I$38,'Look-ups'!$A$15:$C$43,2,0)*167</f>
        <v>178.69</v>
      </c>
      <c r="AG23" s="175">
        <f>VLOOKUP('Green+Social Interface'!$I$38,'Look-ups'!$A$15:$C$43,2,0)*210</f>
        <v>224.70000000000002</v>
      </c>
    </row>
    <row r="24" spans="1:33" x14ac:dyDescent="0.25">
      <c r="A24" s="175">
        <v>2031</v>
      </c>
      <c r="B24" s="433">
        <f t="shared" si="3"/>
        <v>1.2869999999999995</v>
      </c>
      <c r="C24" s="435">
        <f t="shared" si="4"/>
        <v>1.3199999999999994</v>
      </c>
      <c r="D24" s="178">
        <v>5</v>
      </c>
      <c r="G24" s="174"/>
      <c r="H24" s="174"/>
      <c r="I24" s="174" t="str">
        <f t="shared" si="0"/>
        <v>Regional City-House-6-bed</v>
      </c>
      <c r="J24" s="174" t="s">
        <v>172</v>
      </c>
      <c r="K24" s="174" t="s">
        <v>135</v>
      </c>
      <c r="L24" s="174" t="s">
        <v>174</v>
      </c>
      <c r="M24" s="174">
        <v>1.8333333333333333</v>
      </c>
      <c r="N24" s="174"/>
      <c r="O24" s="174" t="str">
        <f t="shared" si="1"/>
        <v>Tas-Capital City-Flat</v>
      </c>
      <c r="P24" s="174" t="s">
        <v>167</v>
      </c>
      <c r="Q24" s="174" t="s">
        <v>171</v>
      </c>
      <c r="R24" s="174" t="s">
        <v>175</v>
      </c>
      <c r="S24" s="174">
        <f>ROUND(VLOOKUP('Green+Social Interface'!$I$38,'Look-ups'!$A$15:$C$43,3,0)*T24,0)</f>
        <v>425</v>
      </c>
      <c r="T24" s="174">
        <v>395</v>
      </c>
      <c r="U24" s="174"/>
      <c r="Y24" s="175" t="str">
        <f t="shared" si="2"/>
        <v>TAS-Capital City-Lone Person</v>
      </c>
      <c r="Z24" s="175" t="s">
        <v>222</v>
      </c>
      <c r="AA24" s="175" t="s">
        <v>171</v>
      </c>
      <c r="AB24" s="175" t="s">
        <v>224</v>
      </c>
      <c r="AC24" s="175">
        <f>VLOOKUP('Green+Social Interface'!$I$38,'Look-ups'!$A$15:$C$43,2,0)*86</f>
        <v>92.02000000000001</v>
      </c>
      <c r="AD24" s="175">
        <f>VLOOKUP('Green+Social Interface'!$I$38,'Look-ups'!$A$15:$C$43,2,0)*123</f>
        <v>131.61000000000001</v>
      </c>
      <c r="AE24" s="175">
        <f>VLOOKUP('Green+Social Interface'!$I$38,'Look-ups'!$A$15:$C$43,2,0)*147</f>
        <v>157.29000000000002</v>
      </c>
      <c r="AF24" s="175">
        <f>VLOOKUP('Green+Social Interface'!$I$38,'Look-ups'!$A$15:$C$43,2,0)*180</f>
        <v>192.60000000000002</v>
      </c>
      <c r="AG24" s="175">
        <f>VLOOKUP('Green+Social Interface'!$I$38,'Look-ups'!$A$15:$C$43,2,0)*171</f>
        <v>182.97</v>
      </c>
    </row>
    <row r="25" spans="1:33" x14ac:dyDescent="0.25">
      <c r="A25" s="175">
        <v>2032</v>
      </c>
      <c r="B25" s="433">
        <f t="shared" si="3"/>
        <v>1.3119999999999994</v>
      </c>
      <c r="C25" s="435">
        <f t="shared" si="4"/>
        <v>1.3449999999999993</v>
      </c>
      <c r="D25" s="178">
        <v>5.5</v>
      </c>
      <c r="G25" s="174"/>
      <c r="H25" s="174"/>
      <c r="I25" s="174"/>
      <c r="J25" s="174"/>
      <c r="K25" s="174"/>
      <c r="L25" s="174"/>
      <c r="M25" s="174"/>
      <c r="N25" s="174"/>
      <c r="O25" s="174" t="str">
        <f t="shared" si="1"/>
        <v>Tas-Regional City-House</v>
      </c>
      <c r="P25" s="174" t="s">
        <v>167</v>
      </c>
      <c r="Q25" s="174" t="s">
        <v>172</v>
      </c>
      <c r="R25" s="174" t="s">
        <v>135</v>
      </c>
      <c r="S25" s="174">
        <f>ROUND(VLOOKUP('Green+Social Interface'!$I$38,'Look-ups'!$A$15:$C$43,3,0)*T25,0)</f>
        <v>377</v>
      </c>
      <c r="T25" s="174">
        <v>350</v>
      </c>
      <c r="U25" s="174" t="s">
        <v>194</v>
      </c>
      <c r="Y25" s="175" t="str">
        <f t="shared" si="2"/>
        <v>TAS-Capital City-Couple Only</v>
      </c>
      <c r="Z25" s="175" t="s">
        <v>222</v>
      </c>
      <c r="AA25" s="175" t="s">
        <v>171</v>
      </c>
      <c r="AB25" s="175" t="s">
        <v>220</v>
      </c>
      <c r="AC25" s="175">
        <f>VLOOKUP('Green+Social Interface'!$I$38,'Look-ups'!$A$15:$C$43,2,0)*139</f>
        <v>148.73000000000002</v>
      </c>
      <c r="AD25" s="175">
        <f>VLOOKUP('Green+Social Interface'!$I$38,'Look-ups'!$A$15:$C$43,2,0)*131</f>
        <v>140.17000000000002</v>
      </c>
      <c r="AE25" s="175">
        <f>VLOOKUP('Green+Social Interface'!$I$38,'Look-ups'!$A$15:$C$43,2,0)*148</f>
        <v>158.36000000000001</v>
      </c>
      <c r="AF25" s="175">
        <f>VLOOKUP('Green+Social Interface'!$I$38,'Look-ups'!$A$15:$C$43,2,0)*164</f>
        <v>175.48000000000002</v>
      </c>
      <c r="AG25" s="175">
        <f>VLOOKUP('Green+Social Interface'!$I$38,'Look-ups'!$A$15:$C$43,2,0)*206</f>
        <v>220.42000000000002</v>
      </c>
    </row>
    <row r="26" spans="1:33" x14ac:dyDescent="0.25">
      <c r="A26" s="175">
        <v>2033</v>
      </c>
      <c r="B26" s="433">
        <f t="shared" si="3"/>
        <v>1.3369999999999993</v>
      </c>
      <c r="C26" s="435">
        <f t="shared" si="4"/>
        <v>1.3699999999999992</v>
      </c>
      <c r="D26" s="178">
        <v>6</v>
      </c>
      <c r="G26" s="174"/>
      <c r="H26" s="174"/>
      <c r="I26" s="604" t="s">
        <v>173</v>
      </c>
      <c r="J26" s="604"/>
      <c r="K26" s="604"/>
      <c r="L26" s="604"/>
      <c r="M26" s="604"/>
      <c r="N26" s="174"/>
      <c r="O26" s="174" t="str">
        <f t="shared" si="1"/>
        <v>Tas-Regional City-Flat</v>
      </c>
      <c r="P26" s="174" t="s">
        <v>167</v>
      </c>
      <c r="Q26" s="174" t="s">
        <v>172</v>
      </c>
      <c r="R26" s="174" t="s">
        <v>175</v>
      </c>
      <c r="S26" s="174">
        <f>ROUND(VLOOKUP('Green+Social Interface'!$I$38,'Look-ups'!$A$15:$C$43,3,0)*T26,0)</f>
        <v>334</v>
      </c>
      <c r="T26" s="174">
        <v>310</v>
      </c>
      <c r="U26" s="174"/>
      <c r="Y26" s="175" t="str">
        <f t="shared" si="2"/>
        <v>TAS-Regional City-Lone Person</v>
      </c>
      <c r="Z26" s="175" t="s">
        <v>222</v>
      </c>
      <c r="AA26" s="175" t="s">
        <v>172</v>
      </c>
      <c r="AB26" s="175" t="s">
        <v>224</v>
      </c>
      <c r="AC26" s="175">
        <f>VLOOKUP('Green+Social Interface'!$I$38,'Look-ups'!$A$15:$C$43,2,0)*130</f>
        <v>139.1</v>
      </c>
      <c r="AD26" s="175">
        <f>VLOOKUP('Green+Social Interface'!$I$38,'Look-ups'!$A$15:$C$43,2,0)*185</f>
        <v>197.95000000000002</v>
      </c>
      <c r="AE26" s="175">
        <f>VLOOKUP('Green+Social Interface'!$I$38,'Look-ups'!$A$15:$C$43,2,0)*222</f>
        <v>237.54000000000002</v>
      </c>
      <c r="AF26" s="175">
        <f>VLOOKUP('Green+Social Interface'!$I$38,'Look-ups'!$A$15:$C$43,2,0)*272</f>
        <v>291.04000000000002</v>
      </c>
      <c r="AG26" s="175">
        <f>VLOOKUP('Green+Social Interface'!$I$38,'Look-ups'!$A$15:$C$43,2,0)*258</f>
        <v>276.06</v>
      </c>
    </row>
    <row r="27" spans="1:33" x14ac:dyDescent="0.25">
      <c r="A27" s="175">
        <v>2034</v>
      </c>
      <c r="B27" s="433">
        <f t="shared" si="3"/>
        <v>1.3619999999999992</v>
      </c>
      <c r="C27" s="435">
        <f t="shared" si="4"/>
        <v>1.3949999999999991</v>
      </c>
      <c r="D27" s="178">
        <v>6.5</v>
      </c>
      <c r="G27" s="174"/>
      <c r="H27" s="174"/>
      <c r="I27" s="604"/>
      <c r="J27" s="604"/>
      <c r="K27" s="604"/>
      <c r="L27" s="604"/>
      <c r="M27" s="604"/>
      <c r="N27" s="174"/>
      <c r="O27" s="174" t="str">
        <f t="shared" si="1"/>
        <v>Vic-Capital City-House</v>
      </c>
      <c r="P27" s="174" t="s">
        <v>168</v>
      </c>
      <c r="Q27" s="174" t="s">
        <v>171</v>
      </c>
      <c r="R27" s="174" t="s">
        <v>135</v>
      </c>
      <c r="S27" s="174">
        <f>ROUND(VLOOKUP('Green+Social Interface'!$I$38,'Look-ups'!$A$15:$C$43,3,0)*T27,0)</f>
        <v>361</v>
      </c>
      <c r="T27" s="174">
        <v>335</v>
      </c>
      <c r="U27" s="174" t="s">
        <v>195</v>
      </c>
      <c r="Y27" s="175" t="str">
        <f t="shared" si="2"/>
        <v>TAS-Regional City-Couple Only</v>
      </c>
      <c r="Z27" s="175" t="s">
        <v>222</v>
      </c>
      <c r="AA27" s="175" t="s">
        <v>172</v>
      </c>
      <c r="AB27" s="175" t="s">
        <v>220</v>
      </c>
      <c r="AC27" s="175">
        <f>VLOOKUP('Green+Social Interface'!$I$38,'Look-ups'!$A$15:$C$43,2,0)*210</f>
        <v>224.70000000000002</v>
      </c>
      <c r="AD27" s="175">
        <f>VLOOKUP('Green+Social Interface'!$I$38,'Look-ups'!$A$15:$C$43,2,0)*198</f>
        <v>211.86</v>
      </c>
      <c r="AE27" s="175">
        <f>VLOOKUP('Green+Social Interface'!$I$38,'Look-ups'!$A$15:$C$43,2,0)*224</f>
        <v>239.68</v>
      </c>
      <c r="AF27" s="175">
        <f>VLOOKUP('Green+Social Interface'!$I$38,'Look-ups'!$A$15:$C$43,2,0)*248</f>
        <v>265.36</v>
      </c>
      <c r="AG27" s="175">
        <f>VLOOKUP('Green+Social Interface'!$I$38,'Look-ups'!$A$15:$C$43,2,0)*311</f>
        <v>332.77000000000004</v>
      </c>
    </row>
    <row r="28" spans="1:33" x14ac:dyDescent="0.25">
      <c r="A28" s="175">
        <v>2035</v>
      </c>
      <c r="B28" s="433">
        <f t="shared" si="3"/>
        <v>1.3869999999999991</v>
      </c>
      <c r="C28" s="435">
        <f t="shared" si="4"/>
        <v>1.419999999999999</v>
      </c>
      <c r="D28" s="178">
        <v>7</v>
      </c>
      <c r="G28" s="174"/>
      <c r="H28" s="174"/>
      <c r="I28" s="604"/>
      <c r="J28" s="604"/>
      <c r="K28" s="604"/>
      <c r="L28" s="604"/>
      <c r="M28" s="604"/>
      <c r="N28" s="174"/>
      <c r="O28" s="174" t="str">
        <f t="shared" si="1"/>
        <v>Vic-Capital City-Flat</v>
      </c>
      <c r="P28" s="174" t="s">
        <v>168</v>
      </c>
      <c r="Q28" s="174" t="s">
        <v>171</v>
      </c>
      <c r="R28" s="174" t="s">
        <v>175</v>
      </c>
      <c r="S28" s="174">
        <f>ROUND(VLOOKUP('Green+Social Interface'!$I$38,'Look-ups'!$A$15:$C$43,3,0)*T28,0)</f>
        <v>345</v>
      </c>
      <c r="T28" s="174">
        <v>320</v>
      </c>
      <c r="U28" s="174"/>
      <c r="Y28" s="175" t="str">
        <f t="shared" si="2"/>
        <v>VIC-Capital City-Lone Person</v>
      </c>
      <c r="Z28" s="175" t="s">
        <v>223</v>
      </c>
      <c r="AA28" s="175" t="s">
        <v>171</v>
      </c>
      <c r="AB28" s="175" t="s">
        <v>224</v>
      </c>
      <c r="AC28" s="175">
        <f>VLOOKUP('Green+Social Interface'!$I$38,'Look-ups'!$A$15:$C$43,2,0)*108</f>
        <v>115.56</v>
      </c>
      <c r="AD28" s="175">
        <f>VLOOKUP('Green+Social Interface'!$I$38,'Look-ups'!$A$15:$C$43,2,0)*155</f>
        <v>165.85000000000002</v>
      </c>
      <c r="AE28" s="175">
        <f>VLOOKUP('Green+Social Interface'!$I$38,'Look-ups'!$A$15:$C$43,2,0)*186</f>
        <v>199.02</v>
      </c>
      <c r="AF28" s="175">
        <f>VLOOKUP('Green+Social Interface'!$I$38,'Look-ups'!$A$15:$C$43,2,0)*227</f>
        <v>242.89000000000001</v>
      </c>
      <c r="AG28" s="175">
        <f>VLOOKUP('Green+Social Interface'!$I$38,'Look-ups'!$A$15:$C$43,2,0)*216</f>
        <v>231.12</v>
      </c>
    </row>
    <row r="29" spans="1:33" x14ac:dyDescent="0.25">
      <c r="A29" s="175">
        <v>2036</v>
      </c>
      <c r="B29" s="433">
        <f t="shared" si="3"/>
        <v>1.411999999999999</v>
      </c>
      <c r="C29" s="435">
        <f t="shared" si="4"/>
        <v>1.444999999999999</v>
      </c>
      <c r="D29" s="178">
        <v>7.5</v>
      </c>
      <c r="G29" s="174"/>
      <c r="H29" s="174"/>
      <c r="I29" s="604"/>
      <c r="J29" s="604"/>
      <c r="K29" s="604"/>
      <c r="L29" s="604"/>
      <c r="M29" s="604"/>
      <c r="N29" s="174"/>
      <c r="O29" s="174" t="str">
        <f t="shared" si="1"/>
        <v>Vic-Regional City-House</v>
      </c>
      <c r="P29" s="174" t="s">
        <v>168</v>
      </c>
      <c r="Q29" s="174" t="s">
        <v>172</v>
      </c>
      <c r="R29" s="174" t="s">
        <v>135</v>
      </c>
      <c r="S29" s="174">
        <f>ROUND(VLOOKUP('Green+Social Interface'!$I$38,'Look-ups'!$A$15:$C$43,3,0)*T29,0)</f>
        <v>312</v>
      </c>
      <c r="T29" s="174">
        <v>290</v>
      </c>
      <c r="U29" s="174" t="s">
        <v>196</v>
      </c>
      <c r="Y29" s="175" t="str">
        <f t="shared" si="2"/>
        <v>VIC-Capital City-Couple Only</v>
      </c>
      <c r="Z29" s="175" t="s">
        <v>223</v>
      </c>
      <c r="AA29" s="175" t="s">
        <v>171</v>
      </c>
      <c r="AB29" s="175" t="s">
        <v>220</v>
      </c>
      <c r="AC29" s="175">
        <f>VLOOKUP('Green+Social Interface'!$I$38,'Look-ups'!$A$15:$C$43,2,0)*175</f>
        <v>187.25</v>
      </c>
      <c r="AD29" s="175">
        <f>VLOOKUP('Green+Social Interface'!$I$38,'Look-ups'!$A$15:$C$43,2,0)*166</f>
        <v>177.62</v>
      </c>
      <c r="AE29" s="175">
        <f>VLOOKUP('Green+Social Interface'!$I$38,'Look-ups'!$A$15:$C$43,2,0)*188</f>
        <v>201.16000000000003</v>
      </c>
      <c r="AF29" s="175">
        <f>VLOOKUP('Green+Social Interface'!$I$38,'Look-ups'!$A$15:$C$43,2,0)*208</f>
        <v>222.56</v>
      </c>
      <c r="AG29" s="175">
        <f>VLOOKUP('Green+Social Interface'!$I$38,'Look-ups'!$A$15:$C$43,2,0)*261</f>
        <v>279.27000000000004</v>
      </c>
    </row>
    <row r="30" spans="1:33" x14ac:dyDescent="0.25">
      <c r="A30" s="175">
        <v>2037</v>
      </c>
      <c r="B30" s="433">
        <f t="shared" si="3"/>
        <v>1.4369999999999989</v>
      </c>
      <c r="C30" s="435">
        <f t="shared" si="4"/>
        <v>1.4699999999999989</v>
      </c>
      <c r="D30" s="178">
        <v>8</v>
      </c>
      <c r="G30" s="174"/>
      <c r="H30" s="174"/>
      <c r="I30" s="174"/>
      <c r="J30" s="174"/>
      <c r="K30" s="174"/>
      <c r="L30" s="174"/>
      <c r="M30" s="174"/>
      <c r="N30" s="174"/>
      <c r="O30" s="174" t="str">
        <f t="shared" si="1"/>
        <v>Vic-Regional City-Flat</v>
      </c>
      <c r="P30" s="174" t="s">
        <v>168</v>
      </c>
      <c r="Q30" s="174" t="s">
        <v>172</v>
      </c>
      <c r="R30" s="174" t="s">
        <v>175</v>
      </c>
      <c r="S30" s="174">
        <f>ROUND(VLOOKUP('Green+Social Interface'!$I$38,'Look-ups'!$A$15:$C$43,3,0)*T30,0)</f>
        <v>280</v>
      </c>
      <c r="T30" s="174">
        <v>260</v>
      </c>
      <c r="U30" s="174"/>
      <c r="Y30" s="175" t="str">
        <f t="shared" si="2"/>
        <v>VIC-Regional City-Lone Person</v>
      </c>
      <c r="Z30" s="175" t="s">
        <v>223</v>
      </c>
      <c r="AA30" s="175" t="s">
        <v>172</v>
      </c>
      <c r="AB30" s="175" t="s">
        <v>224</v>
      </c>
      <c r="AC30" s="175">
        <f>VLOOKUP('Green+Social Interface'!$I$38,'Look-ups'!$A$15:$C$43,2,0)*88</f>
        <v>94.160000000000011</v>
      </c>
      <c r="AD30" s="175">
        <f>VLOOKUP('Green+Social Interface'!$I$38,'Look-ups'!$A$15:$C$43,2,0)*126</f>
        <v>134.82000000000002</v>
      </c>
      <c r="AE30" s="175">
        <f>VLOOKUP('Green+Social Interface'!$I$38,'Look-ups'!$A$15:$C$43,2,0)*151</f>
        <v>161.57000000000002</v>
      </c>
      <c r="AF30" s="175">
        <f>VLOOKUP('Green+Social Interface'!$I$38,'Look-ups'!$A$15:$C$43,2,0)*185</f>
        <v>197.95000000000002</v>
      </c>
      <c r="AG30" s="175">
        <f>VLOOKUP('Green+Social Interface'!$I$38,'Look-ups'!$A$15:$C$43,2,0)*176</f>
        <v>188.32000000000002</v>
      </c>
    </row>
    <row r="31" spans="1:33" x14ac:dyDescent="0.25">
      <c r="A31" s="175">
        <v>2038</v>
      </c>
      <c r="B31" s="433">
        <f t="shared" si="3"/>
        <v>1.4619999999999989</v>
      </c>
      <c r="C31" s="435">
        <f t="shared" si="4"/>
        <v>1.4949999999999988</v>
      </c>
      <c r="D31" s="178">
        <v>8.5</v>
      </c>
      <c r="G31" s="174"/>
      <c r="H31" s="174"/>
      <c r="I31" s="174"/>
      <c r="J31" s="174"/>
      <c r="K31" s="174"/>
      <c r="L31" s="174"/>
      <c r="M31" s="174"/>
      <c r="N31" s="174"/>
      <c r="O31" s="174" t="str">
        <f t="shared" si="1"/>
        <v>WA-Capital City-House</v>
      </c>
      <c r="P31" s="174" t="s">
        <v>169</v>
      </c>
      <c r="Q31" s="174" t="s">
        <v>171</v>
      </c>
      <c r="R31" s="174" t="s">
        <v>135</v>
      </c>
      <c r="S31" s="174">
        <f>ROUND(VLOOKUP('Green+Social Interface'!$I$38,'Look-ups'!$A$15:$C$43,3,0)*T31,0)</f>
        <v>409</v>
      </c>
      <c r="T31" s="174">
        <v>380</v>
      </c>
      <c r="U31" s="174" t="s">
        <v>197</v>
      </c>
      <c r="Y31" s="175" t="str">
        <f t="shared" si="2"/>
        <v>VIC-Regional City-Couple Only</v>
      </c>
      <c r="Z31" s="175" t="s">
        <v>223</v>
      </c>
      <c r="AA31" s="175" t="s">
        <v>172</v>
      </c>
      <c r="AB31" s="175" t="s">
        <v>220</v>
      </c>
      <c r="AC31" s="175">
        <f>VLOOKUP('Green+Social Interface'!$I$38,'Look-ups'!$A$15:$C$43,2,0)*143</f>
        <v>153.01000000000002</v>
      </c>
      <c r="AD31" s="175">
        <f>VLOOKUP('Green+Social Interface'!$I$38,'Look-ups'!$A$15:$C$43,2,0)*135</f>
        <v>144.45000000000002</v>
      </c>
      <c r="AE31" s="175">
        <f>VLOOKUP('Green+Social Interface'!$I$38,'Look-ups'!$A$15:$C$43,2,0)*153</f>
        <v>163.71</v>
      </c>
      <c r="AF31" s="175">
        <f>VLOOKUP('Green+Social Interface'!$I$38,'Look-ups'!$A$15:$C$43,2,0)*169</f>
        <v>180.83</v>
      </c>
      <c r="AG31" s="175">
        <f>VLOOKUP('Green+Social Interface'!$I$38,'Look-ups'!$A$15:$C$43,2,0)*212</f>
        <v>226.84</v>
      </c>
    </row>
    <row r="32" spans="1:33" x14ac:dyDescent="0.25">
      <c r="A32" s="175">
        <v>2039</v>
      </c>
      <c r="B32" s="433">
        <f t="shared" si="3"/>
        <v>1.4869999999999988</v>
      </c>
      <c r="C32" s="435">
        <f t="shared" si="4"/>
        <v>1.5199999999999987</v>
      </c>
      <c r="D32" s="178">
        <v>9</v>
      </c>
      <c r="G32" s="174"/>
      <c r="H32" s="174"/>
      <c r="I32" s="174"/>
      <c r="J32" s="174"/>
      <c r="K32" s="174"/>
      <c r="L32" s="174"/>
      <c r="M32" s="174"/>
      <c r="N32" s="174"/>
      <c r="O32" s="174" t="str">
        <f t="shared" si="1"/>
        <v>WA-Capital City-Flat</v>
      </c>
      <c r="P32" s="174" t="s">
        <v>169</v>
      </c>
      <c r="Q32" s="174" t="s">
        <v>171</v>
      </c>
      <c r="R32" s="174" t="s">
        <v>175</v>
      </c>
      <c r="S32" s="174">
        <f>ROUND(VLOOKUP('Green+Social Interface'!$I$38,'Look-ups'!$A$15:$C$43,3,0)*T32,0)</f>
        <v>323</v>
      </c>
      <c r="T32" s="174">
        <v>300</v>
      </c>
      <c r="U32" s="174"/>
      <c r="Y32" s="175" t="str">
        <f t="shared" si="2"/>
        <v>WA-Capital City-Lone Person</v>
      </c>
      <c r="Z32" s="175" t="s">
        <v>169</v>
      </c>
      <c r="AA32" s="175" t="s">
        <v>171</v>
      </c>
      <c r="AB32" s="175" t="s">
        <v>224</v>
      </c>
      <c r="AC32" s="175">
        <f>VLOOKUP('Green+Social Interface'!$I$38,'Look-ups'!$A$15:$C$43,2,0)*99</f>
        <v>105.93</v>
      </c>
      <c r="AD32" s="175">
        <f>VLOOKUP('Green+Social Interface'!$I$38,'Look-ups'!$A$15:$C$43,2,0)*142</f>
        <v>151.94</v>
      </c>
      <c r="AE32" s="175">
        <f>VLOOKUP('Green+Social Interface'!$I$38,'Look-ups'!$A$15:$C$43,2,0)*170</f>
        <v>181.9</v>
      </c>
      <c r="AF32" s="175">
        <f>VLOOKUP('Green+Social Interface'!$I$38,'Look-ups'!$A$15:$C$43,2,0)*208</f>
        <v>222.56</v>
      </c>
      <c r="AG32" s="175">
        <f>VLOOKUP('Green+Social Interface'!$I$38,'Look-ups'!$A$15:$C$43,2,0)*197</f>
        <v>210.79000000000002</v>
      </c>
    </row>
    <row r="33" spans="1:41" x14ac:dyDescent="0.25">
      <c r="A33" s="175">
        <v>2040</v>
      </c>
      <c r="B33" s="433">
        <f t="shared" si="3"/>
        <v>1.5119999999999987</v>
      </c>
      <c r="C33" s="435">
        <f t="shared" si="4"/>
        <v>1.5449999999999986</v>
      </c>
      <c r="D33" s="178">
        <v>9.5</v>
      </c>
      <c r="G33" s="174"/>
      <c r="H33" s="174"/>
      <c r="I33" s="174"/>
      <c r="J33" s="174"/>
      <c r="K33" s="174"/>
      <c r="L33" s="174"/>
      <c r="M33" s="174"/>
      <c r="N33" s="174"/>
      <c r="O33" s="174" t="str">
        <f t="shared" si="1"/>
        <v>WA-Regional City-House</v>
      </c>
      <c r="P33" s="174" t="s">
        <v>169</v>
      </c>
      <c r="Q33" s="174" t="s">
        <v>172</v>
      </c>
      <c r="R33" s="174" t="s">
        <v>135</v>
      </c>
      <c r="S33" s="174">
        <f>ROUND(VLOOKUP('Green+Social Interface'!$I$38,'Look-ups'!$A$15:$C$43,3,0)*T33,0)</f>
        <v>385</v>
      </c>
      <c r="T33" s="174">
        <v>357.5</v>
      </c>
      <c r="U33" s="174" t="s">
        <v>198</v>
      </c>
      <c r="Y33" s="175" t="str">
        <f t="shared" si="2"/>
        <v>WA-Capital City-Couple Only</v>
      </c>
      <c r="Z33" s="175" t="s">
        <v>169</v>
      </c>
      <c r="AA33" s="175" t="s">
        <v>171</v>
      </c>
      <c r="AB33" s="175" t="s">
        <v>220</v>
      </c>
      <c r="AC33" s="175">
        <f>VLOOKUP('Green+Social Interface'!$I$38,'Look-ups'!$A$15:$C$43,2,0)*160</f>
        <v>171.20000000000002</v>
      </c>
      <c r="AD33" s="175">
        <f>VLOOKUP('Green+Social Interface'!$I$38,'Look-ups'!$A$15:$C$43,2,0)*152</f>
        <v>162.64000000000001</v>
      </c>
      <c r="AE33" s="175">
        <f>VLOOKUP('Green+Social Interface'!$I$38,'Look-ups'!$A$15:$C$43,2,0)*171</f>
        <v>182.97</v>
      </c>
      <c r="AF33" s="175">
        <f>VLOOKUP('Green+Social Interface'!$I$38,'Look-ups'!$A$15:$C$43,2,0)*190</f>
        <v>203.3</v>
      </c>
      <c r="AG33" s="175">
        <f>VLOOKUP('Green+Social Interface'!$I$38,'Look-ups'!$A$15:$C$43,2,0)*238</f>
        <v>254.66000000000003</v>
      </c>
    </row>
    <row r="34" spans="1:41" x14ac:dyDescent="0.25">
      <c r="A34" s="175">
        <v>2041</v>
      </c>
      <c r="B34" s="433">
        <f t="shared" si="3"/>
        <v>1.5369999999999986</v>
      </c>
      <c r="C34" s="435">
        <f t="shared" si="4"/>
        <v>1.5699999999999985</v>
      </c>
      <c r="D34" s="178">
        <v>10</v>
      </c>
      <c r="G34" s="174"/>
      <c r="H34" s="174"/>
      <c r="I34" s="174"/>
      <c r="J34" s="174"/>
      <c r="K34" s="174"/>
      <c r="L34" s="174"/>
      <c r="M34" s="174"/>
      <c r="N34" s="174"/>
      <c r="O34" s="174" t="str">
        <f t="shared" si="1"/>
        <v>WA-Regional City-Flat</v>
      </c>
      <c r="P34" s="174" t="s">
        <v>169</v>
      </c>
      <c r="Q34" s="174" t="s">
        <v>172</v>
      </c>
      <c r="R34" s="174" t="s">
        <v>175</v>
      </c>
      <c r="S34" s="174">
        <f>ROUND(VLOOKUP('Green+Social Interface'!$I$38,'Look-ups'!$A$15:$C$43,3,0)*T34,0)</f>
        <v>345</v>
      </c>
      <c r="T34" s="174">
        <v>320</v>
      </c>
      <c r="U34" s="174"/>
      <c r="Y34" s="175" t="str">
        <f t="shared" si="2"/>
        <v>WA-Regional City-Lone Person</v>
      </c>
      <c r="Z34" s="175" t="s">
        <v>169</v>
      </c>
      <c r="AA34" s="175" t="s">
        <v>172</v>
      </c>
      <c r="AB34" s="175" t="s">
        <v>224</v>
      </c>
      <c r="AC34" s="175">
        <f>VLOOKUP('Green+Social Interface'!$I$38,'Look-ups'!$A$15:$C$43,2,0)*101</f>
        <v>108.07000000000001</v>
      </c>
      <c r="AD34" s="175">
        <f>VLOOKUP('Green+Social Interface'!$I$38,'Look-ups'!$A$15:$C$43,2,0)*145</f>
        <v>155.15</v>
      </c>
      <c r="AE34" s="175">
        <f>VLOOKUP('Green+Social Interface'!$I$38,'Look-ups'!$A$15:$C$43,2,0)*174</f>
        <v>186.18</v>
      </c>
      <c r="AF34" s="175">
        <f>VLOOKUP('Green+Social Interface'!$I$38,'Look-ups'!$A$15:$C$43,2,0)*213</f>
        <v>227.91000000000003</v>
      </c>
      <c r="AG34" s="175">
        <f>VLOOKUP('Green+Social Interface'!$I$38,'Look-ups'!$A$15:$C$43,2,0)*202</f>
        <v>216.14000000000001</v>
      </c>
    </row>
    <row r="35" spans="1:41" x14ac:dyDescent="0.25">
      <c r="A35" s="175">
        <v>2042</v>
      </c>
      <c r="B35" s="433">
        <f t="shared" si="3"/>
        <v>1.5619999999999985</v>
      </c>
      <c r="C35" s="435">
        <f t="shared" si="4"/>
        <v>1.5949999999999984</v>
      </c>
      <c r="G35" s="174"/>
      <c r="H35" s="174"/>
      <c r="I35" s="174"/>
      <c r="J35" s="174"/>
      <c r="K35" s="174"/>
      <c r="L35" s="174"/>
      <c r="M35" s="174"/>
      <c r="N35" s="174"/>
      <c r="O35" s="174"/>
      <c r="P35" s="174"/>
      <c r="Q35" s="174"/>
      <c r="R35" s="174"/>
      <c r="S35" s="174"/>
      <c r="T35" s="174"/>
      <c r="Y35" s="175" t="str">
        <f t="shared" si="2"/>
        <v>WA-Regional City-Couple Only</v>
      </c>
      <c r="Z35" s="175" t="s">
        <v>169</v>
      </c>
      <c r="AA35" s="175" t="s">
        <v>172</v>
      </c>
      <c r="AB35" s="175" t="s">
        <v>220</v>
      </c>
      <c r="AC35" s="175">
        <f>VLOOKUP('Green+Social Interface'!$I$38,'Look-ups'!$A$15:$C$43,2,0)*164</f>
        <v>175.48000000000002</v>
      </c>
      <c r="AD35" s="175">
        <f>VLOOKUP('Green+Social Interface'!$I$38,'Look-ups'!$A$15:$C$43,2,0)*155</f>
        <v>165.85000000000002</v>
      </c>
      <c r="AE35" s="175">
        <f>VLOOKUP('Green+Social Interface'!$I$38,'Look-ups'!$A$15:$C$43,2,0)*175</f>
        <v>187.25</v>
      </c>
      <c r="AF35" s="175">
        <f>VLOOKUP('Green+Social Interface'!$I$38,'Look-ups'!$A$15:$C$43,2,0)*194</f>
        <v>207.58</v>
      </c>
      <c r="AG35" s="175">
        <f>VLOOKUP('Green+Social Interface'!$I$38,'Look-ups'!$A$15:$C$43,2,0)*244</f>
        <v>261.08000000000004</v>
      </c>
    </row>
    <row r="36" spans="1:41" x14ac:dyDescent="0.25">
      <c r="A36" s="175">
        <v>2043</v>
      </c>
      <c r="B36" s="433">
        <f t="shared" si="3"/>
        <v>1.5869999999999984</v>
      </c>
      <c r="C36" s="435">
        <f t="shared" si="4"/>
        <v>1.6199999999999983</v>
      </c>
      <c r="G36" s="174"/>
      <c r="H36" s="174"/>
      <c r="I36" s="174"/>
      <c r="J36" s="174"/>
      <c r="K36" s="174"/>
      <c r="L36" s="174"/>
      <c r="M36" s="174"/>
      <c r="N36" s="174"/>
      <c r="O36" s="604" t="s">
        <v>1097</v>
      </c>
      <c r="P36" s="604"/>
      <c r="Q36" s="604"/>
      <c r="R36" s="604"/>
      <c r="S36" s="604"/>
      <c r="T36" s="604"/>
    </row>
    <row r="37" spans="1:41" x14ac:dyDescent="0.25">
      <c r="A37" s="175">
        <v>2044</v>
      </c>
      <c r="B37" s="433">
        <f t="shared" si="3"/>
        <v>1.6119999999999983</v>
      </c>
      <c r="C37" s="435">
        <f t="shared" si="4"/>
        <v>1.6449999999999982</v>
      </c>
      <c r="G37" s="174"/>
      <c r="H37" s="174"/>
      <c r="I37" s="174"/>
      <c r="J37" s="174"/>
      <c r="K37" s="174"/>
      <c r="L37" s="174"/>
      <c r="M37" s="174"/>
      <c r="N37" s="174"/>
      <c r="O37" s="604"/>
      <c r="P37" s="604"/>
      <c r="Q37" s="604"/>
      <c r="R37" s="604"/>
      <c r="S37" s="604"/>
      <c r="T37" s="604"/>
    </row>
    <row r="38" spans="1:41" x14ac:dyDescent="0.25">
      <c r="A38" s="175">
        <v>2045</v>
      </c>
      <c r="B38" s="433">
        <f t="shared" si="3"/>
        <v>1.6369999999999982</v>
      </c>
      <c r="C38" s="435">
        <f t="shared" si="4"/>
        <v>1.6699999999999982</v>
      </c>
    </row>
    <row r="39" spans="1:41" x14ac:dyDescent="0.25">
      <c r="A39" s="175">
        <v>2046</v>
      </c>
      <c r="B39" s="433">
        <f t="shared" si="3"/>
        <v>1.6619999999999981</v>
      </c>
      <c r="C39" s="435">
        <f t="shared" si="4"/>
        <v>1.6949999999999981</v>
      </c>
    </row>
    <row r="40" spans="1:41" x14ac:dyDescent="0.25">
      <c r="A40" s="175">
        <v>2047</v>
      </c>
      <c r="B40" s="433">
        <f t="shared" si="3"/>
        <v>1.6869999999999981</v>
      </c>
      <c r="C40" s="435">
        <f t="shared" si="4"/>
        <v>1.719999999999998</v>
      </c>
    </row>
    <row r="41" spans="1:41" x14ac:dyDescent="0.25">
      <c r="A41" s="175">
        <v>2048</v>
      </c>
      <c r="B41" s="433">
        <f t="shared" si="3"/>
        <v>1.711999999999998</v>
      </c>
      <c r="C41" s="435">
        <f t="shared" si="4"/>
        <v>1.7449999999999979</v>
      </c>
    </row>
    <row r="42" spans="1:41" x14ac:dyDescent="0.25">
      <c r="A42" s="175">
        <v>2049</v>
      </c>
      <c r="B42" s="433">
        <f t="shared" si="3"/>
        <v>1.7369999999999979</v>
      </c>
      <c r="C42" s="435">
        <f t="shared" si="4"/>
        <v>1.7699999999999978</v>
      </c>
    </row>
    <row r="43" spans="1:41" x14ac:dyDescent="0.25">
      <c r="A43" s="175">
        <v>2050</v>
      </c>
      <c r="B43" s="433">
        <f t="shared" si="3"/>
        <v>1.7619999999999978</v>
      </c>
      <c r="C43" s="435">
        <f t="shared" si="4"/>
        <v>1.7949999999999977</v>
      </c>
    </row>
    <row r="44" spans="1:41" x14ac:dyDescent="0.25">
      <c r="B44" t="s">
        <v>1094</v>
      </c>
      <c r="C44" t="s">
        <v>1095</v>
      </c>
    </row>
    <row r="46" spans="1:41" s="186" customFormat="1" x14ac:dyDescent="0.25">
      <c r="A46" s="187" t="s">
        <v>152</v>
      </c>
      <c r="I46" s="187" t="s">
        <v>152</v>
      </c>
      <c r="O46" s="187" t="s">
        <v>152</v>
      </c>
      <c r="V46" s="187" t="s">
        <v>152</v>
      </c>
    </row>
    <row r="47" spans="1:41" s="10" customFormat="1" x14ac:dyDescent="0.25">
      <c r="A47" s="188"/>
      <c r="B47" s="188"/>
      <c r="C47" s="188" t="s">
        <v>234</v>
      </c>
      <c r="D47" s="188"/>
      <c r="E47" s="188"/>
      <c r="F47" s="188"/>
      <c r="G47" s="188"/>
      <c r="H47" s="188"/>
      <c r="I47" s="188"/>
      <c r="J47" s="188"/>
      <c r="K47" s="188"/>
      <c r="L47" s="188"/>
      <c r="M47" s="188"/>
      <c r="N47" s="188"/>
      <c r="O47" s="188"/>
      <c r="P47" s="188"/>
      <c r="Q47" s="188"/>
      <c r="R47" s="188"/>
      <c r="S47" s="188"/>
      <c r="T47" s="188"/>
      <c r="U47" s="188"/>
      <c r="V47" s="188"/>
      <c r="W47" s="188"/>
      <c r="X47" s="188"/>
      <c r="Y47" s="188"/>
      <c r="Z47" s="188"/>
      <c r="AA47" s="188"/>
      <c r="AB47" s="188"/>
      <c r="AC47" s="188"/>
      <c r="AD47" s="188"/>
      <c r="AE47" s="188"/>
      <c r="AF47" s="188"/>
      <c r="AG47" s="188"/>
      <c r="AH47" s="188"/>
      <c r="AI47" s="188"/>
      <c r="AJ47" s="188"/>
      <c r="AK47" s="188"/>
      <c r="AL47" s="188"/>
      <c r="AM47" s="188"/>
      <c r="AN47" s="188"/>
      <c r="AO47" s="188"/>
    </row>
    <row r="48" spans="1:41" x14ac:dyDescent="0.25">
      <c r="A48" s="175"/>
      <c r="B48" s="603">
        <v>0.5</v>
      </c>
      <c r="C48" s="603"/>
      <c r="D48" s="603">
        <v>1</v>
      </c>
      <c r="E48" s="603"/>
      <c r="F48" s="603">
        <v>1.5</v>
      </c>
      <c r="G48" s="603"/>
      <c r="H48" s="603">
        <v>2</v>
      </c>
      <c r="I48" s="603"/>
      <c r="J48" s="603">
        <v>2.5</v>
      </c>
      <c r="K48" s="603"/>
      <c r="L48" s="603">
        <v>3</v>
      </c>
      <c r="M48" s="603"/>
      <c r="N48" s="603">
        <v>3.5</v>
      </c>
      <c r="O48" s="603"/>
      <c r="P48" s="603">
        <v>4</v>
      </c>
      <c r="Q48" s="603"/>
      <c r="R48" s="603">
        <v>4.5</v>
      </c>
      <c r="S48" s="603"/>
      <c r="T48" s="603">
        <v>5</v>
      </c>
      <c r="U48" s="603"/>
      <c r="V48" s="603">
        <v>5.5</v>
      </c>
      <c r="W48" s="603"/>
      <c r="X48" s="603">
        <v>6</v>
      </c>
      <c r="Y48" s="603"/>
      <c r="Z48" s="603">
        <v>6.5</v>
      </c>
      <c r="AA48" s="603"/>
      <c r="AB48" s="603">
        <v>7</v>
      </c>
      <c r="AC48" s="603"/>
      <c r="AD48" s="603">
        <v>7.5</v>
      </c>
      <c r="AE48" s="603"/>
      <c r="AF48" s="603">
        <v>8</v>
      </c>
      <c r="AG48" s="603"/>
      <c r="AH48" s="603">
        <v>8.5</v>
      </c>
      <c r="AI48" s="603"/>
      <c r="AJ48" s="603">
        <v>9</v>
      </c>
      <c r="AK48" s="603"/>
      <c r="AL48" s="603">
        <v>9.5</v>
      </c>
      <c r="AM48" s="603"/>
      <c r="AN48" s="603">
        <v>10</v>
      </c>
      <c r="AO48" s="603"/>
    </row>
    <row r="49" spans="1:41" x14ac:dyDescent="0.25">
      <c r="A49" s="175" t="s">
        <v>857</v>
      </c>
      <c r="B49" s="175" t="s">
        <v>858</v>
      </c>
      <c r="C49" s="175" t="s">
        <v>859</v>
      </c>
      <c r="D49" s="175" t="s">
        <v>858</v>
      </c>
      <c r="E49" s="175" t="s">
        <v>859</v>
      </c>
      <c r="F49" s="175" t="s">
        <v>858</v>
      </c>
      <c r="G49" s="175" t="s">
        <v>859</v>
      </c>
      <c r="H49" s="175" t="s">
        <v>858</v>
      </c>
      <c r="I49" s="175" t="s">
        <v>859</v>
      </c>
      <c r="J49" s="175" t="s">
        <v>858</v>
      </c>
      <c r="K49" s="175" t="s">
        <v>859</v>
      </c>
      <c r="L49" s="175" t="s">
        <v>858</v>
      </c>
      <c r="M49" s="175" t="s">
        <v>859</v>
      </c>
      <c r="N49" s="175" t="s">
        <v>858</v>
      </c>
      <c r="O49" s="175" t="s">
        <v>859</v>
      </c>
      <c r="P49" s="175" t="s">
        <v>858</v>
      </c>
      <c r="Q49" s="175" t="s">
        <v>859</v>
      </c>
      <c r="R49" s="175" t="s">
        <v>858</v>
      </c>
      <c r="S49" s="175" t="s">
        <v>859</v>
      </c>
      <c r="T49" s="175" t="s">
        <v>858</v>
      </c>
      <c r="U49" s="175" t="s">
        <v>859</v>
      </c>
      <c r="V49" s="175" t="s">
        <v>858</v>
      </c>
      <c r="W49" s="285" t="s">
        <v>859</v>
      </c>
      <c r="X49" s="175" t="s">
        <v>858</v>
      </c>
      <c r="Y49" s="175" t="s">
        <v>859</v>
      </c>
      <c r="Z49" s="175" t="s">
        <v>858</v>
      </c>
      <c r="AA49" s="175" t="s">
        <v>859</v>
      </c>
      <c r="AB49" s="175" t="s">
        <v>858</v>
      </c>
      <c r="AC49" s="175" t="s">
        <v>859</v>
      </c>
      <c r="AD49" s="175" t="s">
        <v>858</v>
      </c>
      <c r="AE49" s="175" t="s">
        <v>859</v>
      </c>
      <c r="AF49" s="175" t="s">
        <v>858</v>
      </c>
      <c r="AG49" s="175" t="s">
        <v>859</v>
      </c>
      <c r="AH49" s="175" t="s">
        <v>858</v>
      </c>
      <c r="AI49" s="175" t="s">
        <v>859</v>
      </c>
      <c r="AJ49" s="175" t="s">
        <v>858</v>
      </c>
      <c r="AK49" s="175" t="s">
        <v>859</v>
      </c>
      <c r="AL49" s="175" t="s">
        <v>858</v>
      </c>
      <c r="AM49" s="175" t="s">
        <v>859</v>
      </c>
      <c r="AN49" s="175" t="s">
        <v>858</v>
      </c>
      <c r="AO49" s="175" t="s">
        <v>859</v>
      </c>
    </row>
    <row r="50" spans="1:41" x14ac:dyDescent="0.25">
      <c r="A50" s="175">
        <v>1</v>
      </c>
      <c r="B50" s="175"/>
      <c r="C50" s="175"/>
      <c r="D50" s="175">
        <v>0</v>
      </c>
      <c r="E50" s="175">
        <v>741</v>
      </c>
      <c r="F50" s="175">
        <v>0</v>
      </c>
      <c r="G50" s="175">
        <v>683.5</v>
      </c>
      <c r="H50" s="175">
        <v>0</v>
      </c>
      <c r="I50" s="175">
        <v>626</v>
      </c>
      <c r="J50" s="175">
        <v>0</v>
      </c>
      <c r="K50" s="175">
        <v>580.5</v>
      </c>
      <c r="L50" s="175">
        <v>0</v>
      </c>
      <c r="M50" s="175">
        <v>535</v>
      </c>
      <c r="N50" s="175">
        <v>0</v>
      </c>
      <c r="O50" s="175">
        <v>482.5</v>
      </c>
      <c r="P50" s="175">
        <v>0</v>
      </c>
      <c r="Q50" s="175">
        <v>430</v>
      </c>
      <c r="R50" s="175">
        <v>0</v>
      </c>
      <c r="S50" s="175">
        <v>414.5</v>
      </c>
      <c r="T50" s="175">
        <v>0</v>
      </c>
      <c r="U50" s="175">
        <v>399</v>
      </c>
      <c r="V50" s="175">
        <v>0</v>
      </c>
      <c r="W50" s="285">
        <v>369.5</v>
      </c>
      <c r="X50" s="175">
        <v>0</v>
      </c>
      <c r="Y50" s="175">
        <v>340</v>
      </c>
      <c r="Z50" s="175">
        <v>0</v>
      </c>
      <c r="AA50" s="175">
        <v>319</v>
      </c>
      <c r="AB50" s="175">
        <v>0</v>
      </c>
      <c r="AC50" s="175">
        <v>298</v>
      </c>
      <c r="AD50" s="175">
        <v>0</v>
      </c>
      <c r="AE50" s="175">
        <v>277.5</v>
      </c>
      <c r="AF50" s="175">
        <v>0</v>
      </c>
      <c r="AG50" s="175">
        <v>257</v>
      </c>
      <c r="AH50" s="175">
        <v>0</v>
      </c>
      <c r="AI50" s="175">
        <v>238</v>
      </c>
      <c r="AJ50" s="175">
        <v>0</v>
      </c>
      <c r="AK50" s="175">
        <v>219</v>
      </c>
      <c r="AL50" s="175">
        <v>0</v>
      </c>
      <c r="AM50" s="175">
        <v>204.5</v>
      </c>
      <c r="AN50" s="175">
        <v>0</v>
      </c>
      <c r="AO50" s="175">
        <v>190</v>
      </c>
    </row>
    <row r="51" spans="1:41" x14ac:dyDescent="0.25">
      <c r="A51" s="175">
        <v>2</v>
      </c>
      <c r="B51" s="175"/>
      <c r="C51" s="175"/>
      <c r="D51" s="175">
        <v>0.71692795591177783</v>
      </c>
      <c r="E51" s="175">
        <v>578.28307204408827</v>
      </c>
      <c r="F51" s="175">
        <v>0.65811262274112248</v>
      </c>
      <c r="G51" s="175">
        <v>530.8418873772589</v>
      </c>
      <c r="H51" s="175">
        <v>0.59929728957046713</v>
      </c>
      <c r="I51" s="175">
        <v>483.40070271042953</v>
      </c>
      <c r="J51" s="175">
        <v>0.55038769672329058</v>
      </c>
      <c r="K51" s="175">
        <v>443.94961230327669</v>
      </c>
      <c r="L51" s="175">
        <v>0.50147810387611402</v>
      </c>
      <c r="M51" s="175">
        <v>404.49852189612386</v>
      </c>
      <c r="N51" s="175">
        <v>0.44204366193524125</v>
      </c>
      <c r="O51" s="175">
        <v>356.55795633806474</v>
      </c>
      <c r="P51" s="175">
        <v>0.38260921999436848</v>
      </c>
      <c r="Q51" s="175">
        <v>308.61739078000562</v>
      </c>
      <c r="R51" s="175">
        <v>0.36527417442828058</v>
      </c>
      <c r="S51" s="175">
        <v>294.63472582557171</v>
      </c>
      <c r="T51" s="175">
        <v>0.34793912886219269</v>
      </c>
      <c r="U51" s="175">
        <v>280.65206087113779</v>
      </c>
      <c r="V51" s="175">
        <v>0.31822190789175631</v>
      </c>
      <c r="W51" s="285">
        <v>256.68177809210823</v>
      </c>
      <c r="X51" s="175">
        <v>0.28850468692131992</v>
      </c>
      <c r="Y51" s="175">
        <v>232.71149531307867</v>
      </c>
      <c r="Z51" s="175">
        <v>0.26621677119349263</v>
      </c>
      <c r="AA51" s="175">
        <v>214.73378322880652</v>
      </c>
      <c r="AB51" s="175">
        <v>0.24392885546566534</v>
      </c>
      <c r="AC51" s="175">
        <v>196.75607114453433</v>
      </c>
      <c r="AD51" s="175">
        <v>0.2228791572782729</v>
      </c>
      <c r="AE51" s="175">
        <v>179.77712084272173</v>
      </c>
      <c r="AF51" s="175">
        <v>0.20182945909088046</v>
      </c>
      <c r="AG51" s="175">
        <v>162.79817054090913</v>
      </c>
      <c r="AH51" s="175">
        <v>0.18201797844392287</v>
      </c>
      <c r="AI51" s="175">
        <v>146.81798202155608</v>
      </c>
      <c r="AJ51" s="175">
        <v>0.16220649779696528</v>
      </c>
      <c r="AK51" s="175">
        <v>130.83779350220303</v>
      </c>
      <c r="AL51" s="175">
        <v>0.14610966977131223</v>
      </c>
      <c r="AM51" s="175">
        <v>117.85389033022869</v>
      </c>
      <c r="AN51" s="175">
        <v>0.13001284174565919</v>
      </c>
      <c r="AO51" s="175">
        <v>104.86998715825435</v>
      </c>
    </row>
    <row r="52" spans="1:41" x14ac:dyDescent="0.25">
      <c r="A52" s="175">
        <v>3</v>
      </c>
      <c r="B52" s="175"/>
      <c r="C52" s="175"/>
      <c r="D52" s="175">
        <v>28.898599008558929</v>
      </c>
      <c r="E52" s="175">
        <v>440.1014009914411</v>
      </c>
      <c r="F52" s="175">
        <v>25.478828763409631</v>
      </c>
      <c r="G52" s="175">
        <v>388.02117123659036</v>
      </c>
      <c r="H52" s="175">
        <v>22.059058518260333</v>
      </c>
      <c r="I52" s="175">
        <v>335.94094148173969</v>
      </c>
      <c r="J52" s="175">
        <v>19.193845610162274</v>
      </c>
      <c r="K52" s="175">
        <v>292.30615438983773</v>
      </c>
      <c r="L52" s="175">
        <v>16.328632702064212</v>
      </c>
      <c r="M52" s="175">
        <v>248.67136729793577</v>
      </c>
      <c r="N52" s="175">
        <v>13.432611053018862</v>
      </c>
      <c r="O52" s="175">
        <v>204.56738894698114</v>
      </c>
      <c r="P52" s="175">
        <v>10.536589403973512</v>
      </c>
      <c r="Q52" s="175">
        <v>160.46341059602648</v>
      </c>
      <c r="R52" s="175">
        <v>9.8587971031331101</v>
      </c>
      <c r="S52" s="175">
        <v>150.1412028968669</v>
      </c>
      <c r="T52" s="175">
        <v>9.1810048022927084</v>
      </c>
      <c r="U52" s="175">
        <v>139.8189951977073</v>
      </c>
      <c r="V52" s="175">
        <v>8.349168796715853</v>
      </c>
      <c r="W52" s="285">
        <v>127.15083120328414</v>
      </c>
      <c r="X52" s="175">
        <v>7.5173327911389967</v>
      </c>
      <c r="Y52" s="175">
        <v>114.482667208861</v>
      </c>
      <c r="Z52" s="175">
        <v>6.7163055265094309</v>
      </c>
      <c r="AA52" s="175">
        <v>102.28369447349057</v>
      </c>
      <c r="AB52" s="175">
        <v>5.9152782618798661</v>
      </c>
      <c r="AC52" s="175">
        <v>90.084721738120138</v>
      </c>
      <c r="AD52" s="175">
        <v>5.1450597381975918</v>
      </c>
      <c r="AE52" s="175">
        <v>78.354940261802412</v>
      </c>
      <c r="AF52" s="175">
        <v>4.3748412145153175</v>
      </c>
      <c r="AG52" s="175">
        <v>66.625158785484686</v>
      </c>
      <c r="AH52" s="175">
        <v>3.6662401727276253</v>
      </c>
      <c r="AI52" s="175">
        <v>55.833759827272374</v>
      </c>
      <c r="AJ52" s="175">
        <v>2.957639130939933</v>
      </c>
      <c r="AK52" s="175">
        <v>45.042360869060069</v>
      </c>
      <c r="AL52" s="175">
        <v>2.3722730529414044</v>
      </c>
      <c r="AM52" s="175">
        <v>36.127726947058598</v>
      </c>
      <c r="AN52" s="175">
        <v>1.7869069749428763</v>
      </c>
      <c r="AO52" s="175">
        <v>27.213093025057123</v>
      </c>
    </row>
    <row r="53" spans="1:41" x14ac:dyDescent="0.25">
      <c r="A53" s="175">
        <v>4</v>
      </c>
      <c r="B53" s="175"/>
      <c r="C53" s="175"/>
      <c r="D53" s="175">
        <v>6.4749459167989487</v>
      </c>
      <c r="E53" s="175">
        <v>182.52505408320104</v>
      </c>
      <c r="F53" s="175">
        <v>5.721248508494309</v>
      </c>
      <c r="G53" s="175">
        <v>161.27875149150569</v>
      </c>
      <c r="H53" s="175">
        <v>4.9675511001896693</v>
      </c>
      <c r="I53" s="175">
        <v>140.03244889981033</v>
      </c>
      <c r="J53" s="175">
        <v>4.4194075305135678</v>
      </c>
      <c r="K53" s="175">
        <v>124.58059246948643</v>
      </c>
      <c r="L53" s="175">
        <v>3.8712639608374664</v>
      </c>
      <c r="M53" s="175">
        <v>109.12873603916253</v>
      </c>
      <c r="N53" s="175">
        <v>3.2888614180566087</v>
      </c>
      <c r="O53" s="175">
        <v>92.711138581943388</v>
      </c>
      <c r="P53" s="175">
        <v>2.706458875275751</v>
      </c>
      <c r="Q53" s="175">
        <v>76.293541124724243</v>
      </c>
      <c r="R53" s="175">
        <v>2.5522934963043475</v>
      </c>
      <c r="S53" s="175">
        <v>71.947706503695656</v>
      </c>
      <c r="T53" s="175">
        <v>2.3981281173329441</v>
      </c>
      <c r="U53" s="175">
        <v>67.601871882667055</v>
      </c>
      <c r="V53" s="175">
        <v>2.1411858190472715</v>
      </c>
      <c r="W53" s="285">
        <v>60.358814180952727</v>
      </c>
      <c r="X53" s="175">
        <v>1.8842435207615988</v>
      </c>
      <c r="Y53" s="175">
        <v>53.115756479238399</v>
      </c>
      <c r="Z53" s="175">
        <v>1.712948655237817</v>
      </c>
      <c r="AA53" s="175">
        <v>48.287051344762183</v>
      </c>
      <c r="AB53" s="175">
        <v>1.5416537897140352</v>
      </c>
      <c r="AC53" s="175">
        <v>43.458346210285967</v>
      </c>
      <c r="AD53" s="175">
        <v>1.3874884107426317</v>
      </c>
      <c r="AE53" s="175">
        <v>39.112511589257366</v>
      </c>
      <c r="AF53" s="175">
        <v>1.2333230317712283</v>
      </c>
      <c r="AG53" s="175">
        <v>34.766676968228772</v>
      </c>
      <c r="AH53" s="175">
        <v>1.113416625904581</v>
      </c>
      <c r="AI53" s="175">
        <v>31.386583374095419</v>
      </c>
      <c r="AJ53" s="175">
        <v>0.99351022003793388</v>
      </c>
      <c r="AK53" s="175">
        <v>28.006489779962067</v>
      </c>
      <c r="AL53" s="175">
        <v>0.87360381417128674</v>
      </c>
      <c r="AM53" s="175">
        <v>24.626396185828714</v>
      </c>
      <c r="AN53" s="175">
        <v>0.75369740830463949</v>
      </c>
      <c r="AO53" s="175">
        <v>21.246302591695361</v>
      </c>
    </row>
    <row r="54" spans="1:41" x14ac:dyDescent="0.25">
      <c r="A54" s="175">
        <v>5</v>
      </c>
      <c r="B54" s="175"/>
      <c r="C54" s="175"/>
      <c r="D54" s="175">
        <v>0.28003750538558081</v>
      </c>
      <c r="E54" s="175">
        <v>313.71996249461444</v>
      </c>
      <c r="F54" s="175">
        <v>0.2599711236302446</v>
      </c>
      <c r="G54" s="175">
        <v>291.24002887636976</v>
      </c>
      <c r="H54" s="175">
        <v>0.2399047418749084</v>
      </c>
      <c r="I54" s="175">
        <v>268.76009525812509</v>
      </c>
      <c r="J54" s="175">
        <v>0.22251387768695036</v>
      </c>
      <c r="K54" s="175">
        <v>249.27748612231304</v>
      </c>
      <c r="L54" s="175">
        <v>0.20512301349899231</v>
      </c>
      <c r="M54" s="175">
        <v>229.79487698650101</v>
      </c>
      <c r="N54" s="175">
        <v>0.18238111417627795</v>
      </c>
      <c r="O54" s="175">
        <v>204.31761888582372</v>
      </c>
      <c r="P54" s="175">
        <v>0.15963921485356358</v>
      </c>
      <c r="Q54" s="175">
        <v>178.84036078514643</v>
      </c>
      <c r="R54" s="175">
        <v>0.15295042093511818</v>
      </c>
      <c r="S54" s="175">
        <v>171.34704957906487</v>
      </c>
      <c r="T54" s="175">
        <v>0.14626162701667278</v>
      </c>
      <c r="U54" s="175">
        <v>163.85373837298332</v>
      </c>
      <c r="V54" s="175">
        <v>0.13377587836890803</v>
      </c>
      <c r="W54" s="285">
        <v>149.86622412163109</v>
      </c>
      <c r="X54" s="175">
        <v>0.12129012972114328</v>
      </c>
      <c r="Y54" s="175">
        <v>135.87870987027887</v>
      </c>
      <c r="Z54" s="175">
        <v>0.11281765742444577</v>
      </c>
      <c r="AA54" s="175">
        <v>126.38718234257556</v>
      </c>
      <c r="AB54" s="175">
        <v>0.10434518512774826</v>
      </c>
      <c r="AC54" s="175">
        <v>116.89565481487224</v>
      </c>
      <c r="AD54" s="175">
        <v>9.6764552020176808E-2</v>
      </c>
      <c r="AE54" s="175">
        <v>108.40323544797982</v>
      </c>
      <c r="AF54" s="175">
        <v>8.9183918912605353E-2</v>
      </c>
      <c r="AG54" s="175">
        <v>99.91081608108739</v>
      </c>
      <c r="AH54" s="175">
        <v>8.2049205399596925E-2</v>
      </c>
      <c r="AI54" s="175">
        <v>91.917950794600401</v>
      </c>
      <c r="AJ54" s="175">
        <v>7.4914491886588497E-2</v>
      </c>
      <c r="AK54" s="175">
        <v>83.925085508113412</v>
      </c>
      <c r="AL54" s="175">
        <v>6.8671617562706122E-2</v>
      </c>
      <c r="AM54" s="175">
        <v>76.9313283824373</v>
      </c>
      <c r="AN54" s="175">
        <v>6.2428743238823747E-2</v>
      </c>
      <c r="AO54" s="175">
        <v>69.937571256761174</v>
      </c>
    </row>
    <row r="55" spans="1:41" x14ac:dyDescent="0.25">
      <c r="A55" s="175">
        <v>6</v>
      </c>
      <c r="B55" s="175"/>
      <c r="C55" s="175"/>
      <c r="D55" s="175">
        <v>133.54519888227236</v>
      </c>
      <c r="E55" s="175">
        <v>398.45480111772764</v>
      </c>
      <c r="F55" s="175">
        <v>114.34180092269747</v>
      </c>
      <c r="G55" s="175">
        <v>341.15819907730253</v>
      </c>
      <c r="H55" s="175">
        <v>95.138402963122601</v>
      </c>
      <c r="I55" s="175">
        <v>283.86159703687741</v>
      </c>
      <c r="J55" s="175">
        <v>80.202426772342136</v>
      </c>
      <c r="K55" s="175">
        <v>239.29757322765786</v>
      </c>
      <c r="L55" s="175">
        <v>65.266450581561685</v>
      </c>
      <c r="M55" s="175">
        <v>194.73354941843832</v>
      </c>
      <c r="N55" s="175">
        <v>51.585598440426637</v>
      </c>
      <c r="O55" s="175">
        <v>153.91440155957338</v>
      </c>
      <c r="P55" s="175">
        <v>37.904746299291588</v>
      </c>
      <c r="Q55" s="175">
        <v>113.09525370070841</v>
      </c>
      <c r="R55" s="175">
        <v>35.268985795036215</v>
      </c>
      <c r="S55" s="175">
        <v>105.23101420496378</v>
      </c>
      <c r="T55" s="175">
        <v>32.633225290780842</v>
      </c>
      <c r="U55" s="175">
        <v>97.366774709219158</v>
      </c>
      <c r="V55" s="175">
        <v>28.99336554680913</v>
      </c>
      <c r="W55" s="285">
        <v>86.50663445319087</v>
      </c>
      <c r="X55" s="175">
        <v>25.353505802837422</v>
      </c>
      <c r="Y55" s="175">
        <v>75.646494197162582</v>
      </c>
      <c r="Z55" s="175">
        <v>22.466720488652964</v>
      </c>
      <c r="AA55" s="175">
        <v>67.033279511347033</v>
      </c>
      <c r="AB55" s="175">
        <v>19.579935174468503</v>
      </c>
      <c r="AC55" s="175">
        <v>58.420064825531497</v>
      </c>
      <c r="AD55" s="175">
        <v>16.693149860284045</v>
      </c>
      <c r="AE55" s="175">
        <v>49.806850139715955</v>
      </c>
      <c r="AF55" s="175">
        <v>13.806364546099585</v>
      </c>
      <c r="AG55" s="175">
        <v>41.193635453900413</v>
      </c>
      <c r="AH55" s="175">
        <v>11.170604041844211</v>
      </c>
      <c r="AI55" s="175">
        <v>33.329395958155793</v>
      </c>
      <c r="AJ55" s="175">
        <v>8.5348435375888343</v>
      </c>
      <c r="AK55" s="175">
        <v>25.465156462411166</v>
      </c>
      <c r="AL55" s="175">
        <v>6.2756202482270842</v>
      </c>
      <c r="AM55" s="175">
        <v>18.724379751772915</v>
      </c>
      <c r="AN55" s="175">
        <v>4.0163969588653341</v>
      </c>
      <c r="AO55" s="175">
        <v>11.983603041134666</v>
      </c>
    </row>
    <row r="56" spans="1:41" x14ac:dyDescent="0.25">
      <c r="A56" s="175">
        <v>7</v>
      </c>
      <c r="B56" s="175"/>
      <c r="C56" s="175"/>
      <c r="D56" s="175">
        <v>15.243665000850367</v>
      </c>
      <c r="E56" s="175">
        <v>319.75633499914966</v>
      </c>
      <c r="F56" s="175">
        <v>13.537284590307415</v>
      </c>
      <c r="G56" s="175">
        <v>283.96271540969258</v>
      </c>
      <c r="H56" s="175">
        <v>11.830904179764463</v>
      </c>
      <c r="I56" s="175">
        <v>248.16909582023553</v>
      </c>
      <c r="J56" s="175">
        <v>10.556806806559059</v>
      </c>
      <c r="K56" s="175">
        <v>221.44319319344095</v>
      </c>
      <c r="L56" s="175">
        <v>9.2827094333536557</v>
      </c>
      <c r="M56" s="175">
        <v>194.71729056664634</v>
      </c>
      <c r="N56" s="175">
        <v>7.9631085825337733</v>
      </c>
      <c r="O56" s="175">
        <v>167.03689141746622</v>
      </c>
      <c r="P56" s="175">
        <v>6.6435077317138909</v>
      </c>
      <c r="Q56" s="175">
        <v>139.3564922682861</v>
      </c>
      <c r="R56" s="175">
        <v>6.3249833884125399</v>
      </c>
      <c r="S56" s="175">
        <v>132.67501661158747</v>
      </c>
      <c r="T56" s="175">
        <v>6.006459045111189</v>
      </c>
      <c r="U56" s="175">
        <v>125.99354095488881</v>
      </c>
      <c r="V56" s="175">
        <v>5.4604173137374445</v>
      </c>
      <c r="W56" s="285">
        <v>114.53958268626255</v>
      </c>
      <c r="X56" s="175">
        <v>4.9143755823637001</v>
      </c>
      <c r="Y56" s="175">
        <v>103.0856244176363</v>
      </c>
      <c r="Z56" s="175">
        <v>4.3910855897971945</v>
      </c>
      <c r="AA56" s="175">
        <v>92.1089144102028</v>
      </c>
      <c r="AB56" s="175">
        <v>3.8677955972306899</v>
      </c>
      <c r="AC56" s="175">
        <v>81.132204402769304</v>
      </c>
      <c r="AD56" s="175">
        <v>3.3900090822786635</v>
      </c>
      <c r="AE56" s="175">
        <v>71.109990917721333</v>
      </c>
      <c r="AF56" s="175">
        <v>2.9122225673266371</v>
      </c>
      <c r="AG56" s="175">
        <v>61.087777432673363</v>
      </c>
      <c r="AH56" s="175">
        <v>2.4799395299890894</v>
      </c>
      <c r="AI56" s="175">
        <v>52.020060470010911</v>
      </c>
      <c r="AJ56" s="175">
        <v>2.0476564926515417</v>
      </c>
      <c r="AK56" s="175">
        <v>42.952343507348459</v>
      </c>
      <c r="AL56" s="175">
        <v>1.6608769329284727</v>
      </c>
      <c r="AM56" s="175">
        <v>34.839123067071526</v>
      </c>
      <c r="AN56" s="175">
        <v>1.2740973732054037</v>
      </c>
      <c r="AO56" s="175">
        <v>26.725902626794596</v>
      </c>
    </row>
    <row r="57" spans="1:41" x14ac:dyDescent="0.25">
      <c r="A57" s="175">
        <v>8</v>
      </c>
      <c r="B57" s="175"/>
      <c r="C57" s="175"/>
      <c r="D57" s="175">
        <v>271.37514697975507</v>
      </c>
      <c r="E57" s="175">
        <v>243.6248530202449</v>
      </c>
      <c r="F57" s="175">
        <v>217.89053063325966</v>
      </c>
      <c r="G57" s="175">
        <v>195.60946936674031</v>
      </c>
      <c r="H57" s="175">
        <v>164.40591428676424</v>
      </c>
      <c r="I57" s="175">
        <v>147.59408571323573</v>
      </c>
      <c r="J57" s="175">
        <v>135.68757348987754</v>
      </c>
      <c r="K57" s="175">
        <v>121.81242651012245</v>
      </c>
      <c r="L57" s="175">
        <v>106.96923269299084</v>
      </c>
      <c r="M57" s="175">
        <v>96.030767307009157</v>
      </c>
      <c r="N57" s="175">
        <v>87.735848489571296</v>
      </c>
      <c r="O57" s="175">
        <v>78.76415151042869</v>
      </c>
      <c r="P57" s="175">
        <v>68.502464286151763</v>
      </c>
      <c r="Q57" s="175">
        <v>61.497535713848222</v>
      </c>
      <c r="R57" s="175">
        <v>65.077341071844174</v>
      </c>
      <c r="S57" s="175">
        <v>58.422658928155812</v>
      </c>
      <c r="T57" s="175">
        <v>61.652217857536591</v>
      </c>
      <c r="U57" s="175">
        <v>55.347782142463402</v>
      </c>
      <c r="V57" s="175">
        <v>55.855855494862212</v>
      </c>
      <c r="W57" s="285">
        <v>50.144144505137781</v>
      </c>
      <c r="X57" s="175">
        <v>50.059493132187832</v>
      </c>
      <c r="Y57" s="175">
        <v>44.940506867812168</v>
      </c>
      <c r="Z57" s="175">
        <v>44.790072802483849</v>
      </c>
      <c r="AA57" s="175">
        <v>40.209927197516144</v>
      </c>
      <c r="AB57" s="175">
        <v>39.520652472779865</v>
      </c>
      <c r="AC57" s="175">
        <v>35.479347527220128</v>
      </c>
      <c r="AD57" s="175">
        <v>34.251232143075882</v>
      </c>
      <c r="AE57" s="175">
        <v>30.748767856924111</v>
      </c>
      <c r="AF57" s="175">
        <v>28.981811813371902</v>
      </c>
      <c r="AG57" s="175">
        <v>26.018188186628095</v>
      </c>
      <c r="AH57" s="175">
        <v>23.712391483667918</v>
      </c>
      <c r="AI57" s="175">
        <v>21.287608516332078</v>
      </c>
      <c r="AJ57" s="175">
        <v>18.442971153963938</v>
      </c>
      <c r="AK57" s="175">
        <v>16.557028846036062</v>
      </c>
      <c r="AL57" s="175">
        <v>14.754376923171151</v>
      </c>
      <c r="AM57" s="175">
        <v>13.245623076828849</v>
      </c>
      <c r="AN57" s="175">
        <v>11.065782692378363</v>
      </c>
      <c r="AO57" s="175">
        <v>9.9342173076216369</v>
      </c>
    </row>
    <row r="58" spans="1:41" x14ac:dyDescent="0.25">
      <c r="A58" s="175">
        <v>9</v>
      </c>
      <c r="B58" s="175"/>
      <c r="C58" s="175"/>
      <c r="D58" s="175">
        <v>97.757817017593482</v>
      </c>
      <c r="E58" s="175">
        <v>233.24218298240652</v>
      </c>
      <c r="F58" s="175">
        <v>84.615149775046916</v>
      </c>
      <c r="G58" s="175">
        <v>201.88485022495308</v>
      </c>
      <c r="H58" s="175">
        <v>71.472482532500365</v>
      </c>
      <c r="I58" s="175">
        <v>170.52751746749965</v>
      </c>
      <c r="J58" s="175">
        <v>60.987882822154234</v>
      </c>
      <c r="K58" s="175">
        <v>145.51211717784577</v>
      </c>
      <c r="L58" s="175">
        <v>50.503283111808109</v>
      </c>
      <c r="M58" s="175">
        <v>120.49671688819188</v>
      </c>
      <c r="N58" s="175">
        <v>40.314024238373136</v>
      </c>
      <c r="O58" s="175">
        <v>96.185975761626864</v>
      </c>
      <c r="P58" s="175">
        <v>30.12476536493817</v>
      </c>
      <c r="Q58" s="175">
        <v>71.87523463506183</v>
      </c>
      <c r="R58" s="175">
        <v>27.909709088104481</v>
      </c>
      <c r="S58" s="175">
        <v>66.590290911895522</v>
      </c>
      <c r="T58" s="175">
        <v>25.694652811270792</v>
      </c>
      <c r="U58" s="175">
        <v>61.305347188729208</v>
      </c>
      <c r="V58" s="175">
        <v>22.741244442159207</v>
      </c>
      <c r="W58" s="285">
        <v>54.258755557840793</v>
      </c>
      <c r="X58" s="175">
        <v>19.787836073047622</v>
      </c>
      <c r="Y58" s="175">
        <v>47.212163926952378</v>
      </c>
      <c r="Z58" s="175">
        <v>17.720450214669512</v>
      </c>
      <c r="AA58" s="175">
        <v>42.279549785330488</v>
      </c>
      <c r="AB58" s="175">
        <v>15.653064356291402</v>
      </c>
      <c r="AC58" s="175">
        <v>37.346935643708598</v>
      </c>
      <c r="AD58" s="175">
        <v>13.585678497913293</v>
      </c>
      <c r="AE58" s="175">
        <v>32.414321502086707</v>
      </c>
      <c r="AF58" s="175">
        <v>11.518292639535183</v>
      </c>
      <c r="AG58" s="175">
        <v>27.481707360464817</v>
      </c>
      <c r="AH58" s="175">
        <v>9.5985771996126523</v>
      </c>
      <c r="AI58" s="175">
        <v>22.901422800387348</v>
      </c>
      <c r="AJ58" s="175">
        <v>7.6788617596901219</v>
      </c>
      <c r="AK58" s="175">
        <v>18.321138240309878</v>
      </c>
      <c r="AL58" s="175">
        <v>5.9068167382231707</v>
      </c>
      <c r="AM58" s="175">
        <v>14.093183261776829</v>
      </c>
      <c r="AN58" s="175">
        <v>4.1347717167562195</v>
      </c>
      <c r="AO58" s="175">
        <v>9.8652282832437805</v>
      </c>
    </row>
    <row r="59" spans="1:41" x14ac:dyDescent="0.25">
      <c r="A59" s="175">
        <v>10</v>
      </c>
      <c r="B59" s="175"/>
      <c r="C59" s="175"/>
      <c r="D59" s="175">
        <v>32.235322841505635</v>
      </c>
      <c r="E59" s="175">
        <v>182.76467715849438</v>
      </c>
      <c r="F59" s="175">
        <v>28.561995354915453</v>
      </c>
      <c r="G59" s="175">
        <v>161.93800464508453</v>
      </c>
      <c r="H59" s="175">
        <v>24.888667868325278</v>
      </c>
      <c r="I59" s="175">
        <v>141.11133213167471</v>
      </c>
      <c r="J59" s="175">
        <v>21.515203850028179</v>
      </c>
      <c r="K59" s="175">
        <v>121.98479614997183</v>
      </c>
      <c r="L59" s="175">
        <v>18.141739831731076</v>
      </c>
      <c r="M59" s="175">
        <v>102.85826016826893</v>
      </c>
      <c r="N59" s="175">
        <v>14.693309946360706</v>
      </c>
      <c r="O59" s="175">
        <v>83.306690053639301</v>
      </c>
      <c r="P59" s="175">
        <v>11.244880060990337</v>
      </c>
      <c r="Q59" s="175">
        <v>63.75511993900966</v>
      </c>
      <c r="R59" s="175">
        <v>10.570187257330916</v>
      </c>
      <c r="S59" s="175">
        <v>59.929812742669085</v>
      </c>
      <c r="T59" s="175">
        <v>9.8954944536714962</v>
      </c>
      <c r="U59" s="175">
        <v>56.104505546328504</v>
      </c>
      <c r="V59" s="175">
        <v>8.9209381817190003</v>
      </c>
      <c r="W59" s="285">
        <v>50.579061818280998</v>
      </c>
      <c r="X59" s="175">
        <v>7.9463819097665045</v>
      </c>
      <c r="Y59" s="175">
        <v>45.053618090233499</v>
      </c>
      <c r="Z59" s="175">
        <v>7.2716891061070843</v>
      </c>
      <c r="AA59" s="175">
        <v>41.228310893892917</v>
      </c>
      <c r="AB59" s="175">
        <v>6.5969963024476641</v>
      </c>
      <c r="AC59" s="175">
        <v>37.403003697552336</v>
      </c>
      <c r="AD59" s="175">
        <v>5.9223034987882439</v>
      </c>
      <c r="AE59" s="175">
        <v>33.577696501211754</v>
      </c>
      <c r="AF59" s="175">
        <v>5.2476106951288237</v>
      </c>
      <c r="AG59" s="175">
        <v>29.752389304871176</v>
      </c>
      <c r="AH59" s="175">
        <v>4.6478837585426724</v>
      </c>
      <c r="AI59" s="175">
        <v>26.352116241457328</v>
      </c>
      <c r="AJ59" s="175">
        <v>4.0481568219565212</v>
      </c>
      <c r="AK59" s="175">
        <v>22.951843178043479</v>
      </c>
      <c r="AL59" s="175">
        <v>3.5233957524436388</v>
      </c>
      <c r="AM59" s="175">
        <v>19.976604247556359</v>
      </c>
      <c r="AN59" s="175">
        <v>2.9986346829307564</v>
      </c>
      <c r="AO59" s="175">
        <v>17.001365317069244</v>
      </c>
    </row>
    <row r="60" spans="1:41" x14ac:dyDescent="0.25">
      <c r="A60" s="175">
        <v>11</v>
      </c>
      <c r="B60" s="175"/>
      <c r="C60" s="175"/>
      <c r="D60" s="175">
        <v>64.843700486511622</v>
      </c>
      <c r="E60" s="175">
        <v>159.15629951348839</v>
      </c>
      <c r="F60" s="175">
        <v>52.974987451034046</v>
      </c>
      <c r="G60" s="175">
        <v>130.02501254896595</v>
      </c>
      <c r="H60" s="175">
        <v>41.10627441555647</v>
      </c>
      <c r="I60" s="175">
        <v>100.89372558444353</v>
      </c>
      <c r="J60" s="175">
        <v>34.448215883459298</v>
      </c>
      <c r="K60" s="175">
        <v>84.551784116540702</v>
      </c>
      <c r="L60" s="175">
        <v>27.790157351362122</v>
      </c>
      <c r="M60" s="175">
        <v>68.209842648637874</v>
      </c>
      <c r="N60" s="175">
        <v>22.724243250853402</v>
      </c>
      <c r="O60" s="175">
        <v>55.775756749146595</v>
      </c>
      <c r="P60" s="175">
        <v>17.658329150344681</v>
      </c>
      <c r="Q60" s="175">
        <v>43.341670849655316</v>
      </c>
      <c r="R60" s="175">
        <v>16.500405927371261</v>
      </c>
      <c r="S60" s="175">
        <v>40.499594072628739</v>
      </c>
      <c r="T60" s="175">
        <v>15.342482704397838</v>
      </c>
      <c r="U60" s="175">
        <v>37.657517295602162</v>
      </c>
      <c r="V60" s="175">
        <v>13.895078675681061</v>
      </c>
      <c r="W60" s="285">
        <v>34.104921324318937</v>
      </c>
      <c r="X60" s="175">
        <v>12.447674646964284</v>
      </c>
      <c r="Y60" s="175">
        <v>30.552325353035716</v>
      </c>
      <c r="Z60" s="175">
        <v>11.145011021119185</v>
      </c>
      <c r="AA60" s="175">
        <v>27.354988978880815</v>
      </c>
      <c r="AB60" s="175">
        <v>9.8423473952740856</v>
      </c>
      <c r="AC60" s="175">
        <v>24.157652604725914</v>
      </c>
      <c r="AD60" s="175">
        <v>8.3949433665573086</v>
      </c>
      <c r="AE60" s="175">
        <v>20.605056633442693</v>
      </c>
      <c r="AF60" s="175">
        <v>6.9475393378405306</v>
      </c>
      <c r="AG60" s="175">
        <v>17.052460662159469</v>
      </c>
      <c r="AH60" s="175">
        <v>5.7896161148671084</v>
      </c>
      <c r="AI60" s="175">
        <v>14.210383885132892</v>
      </c>
      <c r="AJ60" s="175">
        <v>4.631692891893687</v>
      </c>
      <c r="AK60" s="175">
        <v>11.368307108106313</v>
      </c>
      <c r="AL60" s="175">
        <v>3.6185100717919432</v>
      </c>
      <c r="AM60" s="175">
        <v>8.8814899282080564</v>
      </c>
      <c r="AN60" s="175">
        <v>2.6053272516901989</v>
      </c>
      <c r="AO60" s="175">
        <v>6.3946727483098007</v>
      </c>
    </row>
    <row r="61" spans="1:41" x14ac:dyDescent="0.25">
      <c r="A61" s="175">
        <v>12</v>
      </c>
      <c r="B61" s="175"/>
      <c r="C61" s="175"/>
      <c r="D61" s="175">
        <v>46.998927927393765</v>
      </c>
      <c r="E61" s="175">
        <v>226.00107207260623</v>
      </c>
      <c r="F61" s="175">
        <v>38.735380159939915</v>
      </c>
      <c r="G61" s="175">
        <v>186.26461984006008</v>
      </c>
      <c r="H61" s="175">
        <v>30.471832392486068</v>
      </c>
      <c r="I61" s="175">
        <v>146.52816760751392</v>
      </c>
      <c r="J61" s="175">
        <v>25.565350905560344</v>
      </c>
      <c r="K61" s="175">
        <v>122.93464909443965</v>
      </c>
      <c r="L61" s="175">
        <v>20.658869418634623</v>
      </c>
      <c r="M61" s="175">
        <v>99.341130581365377</v>
      </c>
      <c r="N61" s="175">
        <v>16.78533140264063</v>
      </c>
      <c r="O61" s="175">
        <v>80.714668597359363</v>
      </c>
      <c r="P61" s="175">
        <v>12.911793386646639</v>
      </c>
      <c r="Q61" s="175">
        <v>62.088206613353364</v>
      </c>
      <c r="R61" s="175">
        <v>12.137085783447841</v>
      </c>
      <c r="S61" s="175">
        <v>58.362914216552163</v>
      </c>
      <c r="T61" s="175">
        <v>11.362378180249042</v>
      </c>
      <c r="U61" s="175">
        <v>54.637621819750954</v>
      </c>
      <c r="V61" s="175">
        <v>10.071198841584378</v>
      </c>
      <c r="W61" s="285">
        <v>48.428801158415624</v>
      </c>
      <c r="X61" s="175">
        <v>8.7800195029197141</v>
      </c>
      <c r="Y61" s="175">
        <v>42.219980497080286</v>
      </c>
      <c r="Z61" s="175">
        <v>7.6609974094103395</v>
      </c>
      <c r="AA61" s="175">
        <v>36.839002590589658</v>
      </c>
      <c r="AB61" s="175">
        <v>6.5419753159009639</v>
      </c>
      <c r="AC61" s="175">
        <v>31.458024684099037</v>
      </c>
      <c r="AD61" s="175">
        <v>5.3368745998139442</v>
      </c>
      <c r="AE61" s="175">
        <v>25.663125400186058</v>
      </c>
      <c r="AF61" s="175">
        <v>4.1317738837269244</v>
      </c>
      <c r="AG61" s="175">
        <v>19.868226116273075</v>
      </c>
      <c r="AH61" s="175">
        <v>3.0988304127951931</v>
      </c>
      <c r="AI61" s="175">
        <v>14.901169587204807</v>
      </c>
      <c r="AJ61" s="175">
        <v>2.0658869418634622</v>
      </c>
      <c r="AK61" s="175">
        <v>9.9341130581365373</v>
      </c>
      <c r="AL61" s="175">
        <v>1.5494152063975966</v>
      </c>
      <c r="AM61" s="175">
        <v>7.4505847936024034</v>
      </c>
      <c r="AN61" s="175">
        <v>1.0329434709317311</v>
      </c>
      <c r="AO61" s="175">
        <v>4.9670565290682687</v>
      </c>
    </row>
    <row r="62" spans="1:41" x14ac:dyDescent="0.25">
      <c r="A62" s="175">
        <v>13</v>
      </c>
      <c r="B62" s="175"/>
      <c r="C62" s="175"/>
      <c r="D62" s="175">
        <v>157.39733324976493</v>
      </c>
      <c r="E62" s="175">
        <v>254.60266675023507</v>
      </c>
      <c r="F62" s="175">
        <v>136.76758568790254</v>
      </c>
      <c r="G62" s="175">
        <v>221.23241431209746</v>
      </c>
      <c r="H62" s="175">
        <v>116.13783812604015</v>
      </c>
      <c r="I62" s="175">
        <v>187.86216187395985</v>
      </c>
      <c r="J62" s="175">
        <v>97.036220013204598</v>
      </c>
      <c r="K62" s="175">
        <v>156.9637799867954</v>
      </c>
      <c r="L62" s="175">
        <v>77.934601900369046</v>
      </c>
      <c r="M62" s="175">
        <v>126.06539809963095</v>
      </c>
      <c r="N62" s="175">
        <v>60.552129417688697</v>
      </c>
      <c r="O62" s="175">
        <v>97.94787058231131</v>
      </c>
      <c r="P62" s="175">
        <v>43.169656935008341</v>
      </c>
      <c r="Q62" s="175">
        <v>69.830343064991652</v>
      </c>
      <c r="R62" s="175">
        <v>40.113398036954656</v>
      </c>
      <c r="S62" s="175">
        <v>64.886601963045351</v>
      </c>
      <c r="T62" s="175">
        <v>37.057139138900965</v>
      </c>
      <c r="U62" s="175">
        <v>59.942860861099035</v>
      </c>
      <c r="V62" s="175">
        <v>33.618847878590572</v>
      </c>
      <c r="W62" s="285">
        <v>54.381152121409428</v>
      </c>
      <c r="X62" s="175">
        <v>30.180556618280168</v>
      </c>
      <c r="Y62" s="175">
        <v>48.819443381719829</v>
      </c>
      <c r="Z62" s="175">
        <v>26.742265357969771</v>
      </c>
      <c r="AA62" s="175">
        <v>43.257734642030229</v>
      </c>
      <c r="AB62" s="175">
        <v>23.303974097659371</v>
      </c>
      <c r="AC62" s="175">
        <v>37.696025902340629</v>
      </c>
      <c r="AD62" s="175">
        <v>19.86568283734897</v>
      </c>
      <c r="AE62" s="175">
        <v>32.13431716265103</v>
      </c>
      <c r="AF62" s="175">
        <v>16.427391577038573</v>
      </c>
      <c r="AG62" s="175">
        <v>26.572608422961427</v>
      </c>
      <c r="AH62" s="175">
        <v>13.180116497856529</v>
      </c>
      <c r="AI62" s="175">
        <v>21.319883502143469</v>
      </c>
      <c r="AJ62" s="175">
        <v>9.9328414186744851</v>
      </c>
      <c r="AK62" s="175">
        <v>16.067158581325515</v>
      </c>
      <c r="AL62" s="175">
        <v>7.4496310640058647</v>
      </c>
      <c r="AM62" s="175">
        <v>12.050368935994136</v>
      </c>
      <c r="AN62" s="175">
        <v>4.9664207093372426</v>
      </c>
      <c r="AO62" s="175">
        <v>8.0335792906627574</v>
      </c>
    </row>
    <row r="63" spans="1:41" x14ac:dyDescent="0.25">
      <c r="A63" s="175">
        <v>14</v>
      </c>
      <c r="B63" s="175"/>
      <c r="C63" s="175"/>
      <c r="D63" s="175">
        <v>729.49339475082638</v>
      </c>
      <c r="E63" s="175">
        <v>61.506605249173603</v>
      </c>
      <c r="F63" s="175">
        <v>622.51332674691253</v>
      </c>
      <c r="G63" s="175">
        <v>52.486673253087467</v>
      </c>
      <c r="H63" s="175">
        <v>515.53325874299867</v>
      </c>
      <c r="I63" s="175">
        <v>43.466741257001324</v>
      </c>
      <c r="J63" s="175">
        <v>441.75390149892013</v>
      </c>
      <c r="K63" s="175">
        <v>37.246098501079842</v>
      </c>
      <c r="L63" s="175">
        <v>367.97454425484159</v>
      </c>
      <c r="M63" s="175">
        <v>31.025455745158368</v>
      </c>
      <c r="N63" s="175">
        <v>297.4230338901915</v>
      </c>
      <c r="O63" s="175">
        <v>25.076966109808456</v>
      </c>
      <c r="P63" s="175">
        <v>226.87152352554145</v>
      </c>
      <c r="Q63" s="175">
        <v>19.128476474458541</v>
      </c>
      <c r="R63" s="175">
        <v>210.73228912839926</v>
      </c>
      <c r="S63" s="175">
        <v>17.76771087160072</v>
      </c>
      <c r="T63" s="175">
        <v>194.5930547312571</v>
      </c>
      <c r="U63" s="175">
        <v>16.406945268742895</v>
      </c>
      <c r="V63" s="175">
        <v>170.15364264415609</v>
      </c>
      <c r="W63" s="285">
        <v>14.346357355843907</v>
      </c>
      <c r="X63" s="175">
        <v>145.71423055705506</v>
      </c>
      <c r="Y63" s="175">
        <v>12.285769442944918</v>
      </c>
      <c r="Z63" s="175">
        <v>128.19163321158643</v>
      </c>
      <c r="AA63" s="175">
        <v>10.808366788413567</v>
      </c>
      <c r="AB63" s="175">
        <v>110.66903586611778</v>
      </c>
      <c r="AC63" s="175">
        <v>9.3309641338822154</v>
      </c>
      <c r="AD63" s="175">
        <v>94.068680486200108</v>
      </c>
      <c r="AE63" s="175">
        <v>7.9313195137998838</v>
      </c>
      <c r="AF63" s="175">
        <v>77.46832510628245</v>
      </c>
      <c r="AG63" s="175">
        <v>6.5316748937175513</v>
      </c>
      <c r="AH63" s="175">
        <v>60.867969726364777</v>
      </c>
      <c r="AI63" s="175">
        <v>5.1320302736352188</v>
      </c>
      <c r="AJ63" s="175">
        <v>44.267614346447111</v>
      </c>
      <c r="AK63" s="175">
        <v>3.7323856535528863</v>
      </c>
      <c r="AL63" s="175">
        <v>31.356226828733369</v>
      </c>
      <c r="AM63" s="175">
        <v>2.6437731712666279</v>
      </c>
      <c r="AN63" s="175">
        <v>18.444839311019628</v>
      </c>
      <c r="AO63" s="175">
        <v>1.5551606889803693</v>
      </c>
    </row>
    <row r="64" spans="1:41" x14ac:dyDescent="0.25">
      <c r="A64" s="175">
        <v>15</v>
      </c>
      <c r="B64" s="175"/>
      <c r="C64" s="175"/>
      <c r="D64" s="175">
        <v>178.24959948300005</v>
      </c>
      <c r="E64" s="175">
        <v>170.75040051699995</v>
      </c>
      <c r="F64" s="175">
        <v>139.17769587139691</v>
      </c>
      <c r="G64" s="175">
        <v>133.32230412860312</v>
      </c>
      <c r="H64" s="175">
        <v>100.10579225979373</v>
      </c>
      <c r="I64" s="175">
        <v>95.894207740206284</v>
      </c>
      <c r="J64" s="175">
        <v>83.761989441868224</v>
      </c>
      <c r="K64" s="175">
        <v>80.238010558131791</v>
      </c>
      <c r="L64" s="175">
        <v>67.418186623942717</v>
      </c>
      <c r="M64" s="175">
        <v>64.581813376057298</v>
      </c>
      <c r="N64" s="175">
        <v>57.714053700799447</v>
      </c>
      <c r="O64" s="175">
        <v>55.28594629920056</v>
      </c>
      <c r="P64" s="175">
        <v>48.009920777656177</v>
      </c>
      <c r="Q64" s="175">
        <v>45.99007922234383</v>
      </c>
      <c r="R64" s="175">
        <v>45.711573506385406</v>
      </c>
      <c r="S64" s="175">
        <v>43.788426493614601</v>
      </c>
      <c r="T64" s="175">
        <v>43.413226235114628</v>
      </c>
      <c r="U64" s="175">
        <v>41.586773764885379</v>
      </c>
      <c r="V64" s="175">
        <v>38.561159773542997</v>
      </c>
      <c r="W64" s="285">
        <v>36.93884022645701</v>
      </c>
      <c r="X64" s="175">
        <v>33.709093311971358</v>
      </c>
      <c r="Y64" s="175">
        <v>32.290906688028649</v>
      </c>
      <c r="Z64" s="175">
        <v>29.878514526520068</v>
      </c>
      <c r="AA64" s="175">
        <v>28.621485473479936</v>
      </c>
      <c r="AB64" s="175">
        <v>26.047935741068777</v>
      </c>
      <c r="AC64" s="175">
        <v>24.952064258931227</v>
      </c>
      <c r="AD64" s="175">
        <v>22.472728874647572</v>
      </c>
      <c r="AE64" s="175">
        <v>21.527271125352431</v>
      </c>
      <c r="AF64" s="175">
        <v>18.897522008226368</v>
      </c>
      <c r="AG64" s="175">
        <v>18.102477991773636</v>
      </c>
      <c r="AH64" s="175">
        <v>15.577687060835249</v>
      </c>
      <c r="AI64" s="175">
        <v>14.922312939164753</v>
      </c>
      <c r="AJ64" s="175">
        <v>12.25785211344413</v>
      </c>
      <c r="AK64" s="175">
        <v>11.742147886555871</v>
      </c>
      <c r="AL64" s="175">
        <v>9.4487610041131838</v>
      </c>
      <c r="AM64" s="175">
        <v>9.051238995886818</v>
      </c>
      <c r="AN64" s="175">
        <v>6.6396698947822372</v>
      </c>
      <c r="AO64" s="175">
        <v>6.3603301052177637</v>
      </c>
    </row>
    <row r="65" spans="1:41" x14ac:dyDescent="0.25">
      <c r="A65" s="175">
        <v>16</v>
      </c>
      <c r="B65" s="175"/>
      <c r="C65" s="175"/>
      <c r="D65" s="175">
        <v>219.63573701527838</v>
      </c>
      <c r="E65" s="175">
        <v>230.36426298472162</v>
      </c>
      <c r="F65" s="175">
        <v>187.66653529416564</v>
      </c>
      <c r="G65" s="175">
        <v>196.83346470583436</v>
      </c>
      <c r="H65" s="175">
        <v>155.6973335730529</v>
      </c>
      <c r="I65" s="175">
        <v>163.3026664269471</v>
      </c>
      <c r="J65" s="175">
        <v>131.29336279357753</v>
      </c>
      <c r="K65" s="175">
        <v>137.70663720642247</v>
      </c>
      <c r="L65" s="175">
        <v>106.88939201410214</v>
      </c>
      <c r="M65" s="175">
        <v>112.11060798589786</v>
      </c>
      <c r="N65" s="175">
        <v>84.681778604779552</v>
      </c>
      <c r="O65" s="175">
        <v>88.818221395220448</v>
      </c>
      <c r="P65" s="175">
        <v>62.474165195456962</v>
      </c>
      <c r="Q65" s="175">
        <v>65.525834804543038</v>
      </c>
      <c r="R65" s="175">
        <v>58.081450455151398</v>
      </c>
      <c r="S65" s="175">
        <v>60.918549544848602</v>
      </c>
      <c r="T65" s="175">
        <v>53.688735714845826</v>
      </c>
      <c r="U65" s="175">
        <v>56.311264285154174</v>
      </c>
      <c r="V65" s="175">
        <v>47.343703312182228</v>
      </c>
      <c r="W65" s="285">
        <v>49.656296687817772</v>
      </c>
      <c r="X65" s="175">
        <v>40.99867090951863</v>
      </c>
      <c r="Y65" s="175">
        <v>43.00132909048137</v>
      </c>
      <c r="Z65" s="175">
        <v>36.117876753623555</v>
      </c>
      <c r="AA65" s="175">
        <v>37.882123246376445</v>
      </c>
      <c r="AB65" s="175">
        <v>31.237082597728481</v>
      </c>
      <c r="AC65" s="175">
        <v>32.762917402271519</v>
      </c>
      <c r="AD65" s="175">
        <v>26.844367857422913</v>
      </c>
      <c r="AE65" s="175">
        <v>28.155632142577087</v>
      </c>
      <c r="AF65" s="175">
        <v>22.451653117117345</v>
      </c>
      <c r="AG65" s="175">
        <v>23.548346882882655</v>
      </c>
      <c r="AH65" s="175">
        <v>17.814898669017023</v>
      </c>
      <c r="AI65" s="175">
        <v>18.685101330982977</v>
      </c>
      <c r="AJ65" s="175">
        <v>13.178144220916703</v>
      </c>
      <c r="AK65" s="175">
        <v>13.821855779083297</v>
      </c>
      <c r="AL65" s="175">
        <v>9.7615883117901507</v>
      </c>
      <c r="AM65" s="175">
        <v>10.238411688209849</v>
      </c>
      <c r="AN65" s="175">
        <v>6.3450324026635974</v>
      </c>
      <c r="AO65" s="175">
        <v>6.6549675973364026</v>
      </c>
    </row>
    <row r="66" spans="1:41" x14ac:dyDescent="0.25">
      <c r="A66" s="175">
        <v>17</v>
      </c>
      <c r="B66" s="175"/>
      <c r="C66" s="175"/>
      <c r="D66" s="175">
        <v>122.75898347227943</v>
      </c>
      <c r="E66" s="175">
        <v>128.24101652772057</v>
      </c>
      <c r="F66" s="175">
        <v>94.636905585203465</v>
      </c>
      <c r="G66" s="175">
        <v>98.863094414796535</v>
      </c>
      <c r="H66" s="175">
        <v>66.514827698127505</v>
      </c>
      <c r="I66" s="175">
        <v>69.485172301872495</v>
      </c>
      <c r="J66" s="175">
        <v>53.798757697014885</v>
      </c>
      <c r="K66" s="175">
        <v>56.201242302985115</v>
      </c>
      <c r="L66" s="175">
        <v>41.08268769590228</v>
      </c>
      <c r="M66" s="175">
        <v>42.91731230409772</v>
      </c>
      <c r="N66" s="175">
        <v>33.991033272204859</v>
      </c>
      <c r="O66" s="175">
        <v>35.508966727795141</v>
      </c>
      <c r="P66" s="175">
        <v>26.899378848507443</v>
      </c>
      <c r="Q66" s="175">
        <v>28.100621151492557</v>
      </c>
      <c r="R66" s="175">
        <v>25.676679809938925</v>
      </c>
      <c r="S66" s="175">
        <v>26.823320190061075</v>
      </c>
      <c r="T66" s="175">
        <v>24.453980771370404</v>
      </c>
      <c r="U66" s="175">
        <v>25.546019228629596</v>
      </c>
      <c r="V66" s="175">
        <v>21.764042886519661</v>
      </c>
      <c r="W66" s="285">
        <v>22.735957113480339</v>
      </c>
      <c r="X66" s="175">
        <v>19.074105001668915</v>
      </c>
      <c r="Y66" s="175">
        <v>19.925894998331085</v>
      </c>
      <c r="Z66" s="175">
        <v>16.87324673224558</v>
      </c>
      <c r="AA66" s="175">
        <v>17.62675326775442</v>
      </c>
      <c r="AB66" s="175">
        <v>14.672388462822243</v>
      </c>
      <c r="AC66" s="175">
        <v>15.327611537177757</v>
      </c>
      <c r="AD66" s="175">
        <v>12.716070001112611</v>
      </c>
      <c r="AE66" s="175">
        <v>13.283929998887389</v>
      </c>
      <c r="AF66" s="175">
        <v>10.759751539402977</v>
      </c>
      <c r="AG66" s="175">
        <v>11.240248460597023</v>
      </c>
      <c r="AH66" s="175">
        <v>8.8034330776933452</v>
      </c>
      <c r="AI66" s="175">
        <v>9.1965669223066548</v>
      </c>
      <c r="AJ66" s="175">
        <v>6.8471146159837133</v>
      </c>
      <c r="AK66" s="175">
        <v>7.1528853840162867</v>
      </c>
      <c r="AL66" s="175">
        <v>5.135335961987785</v>
      </c>
      <c r="AM66" s="175">
        <v>5.364664038012215</v>
      </c>
      <c r="AN66" s="175">
        <v>3.4235573079918566</v>
      </c>
      <c r="AO66" s="175">
        <v>3.5764426920081434</v>
      </c>
    </row>
    <row r="67" spans="1:41" x14ac:dyDescent="0.25">
      <c r="A67" s="175">
        <v>18</v>
      </c>
      <c r="B67" s="175"/>
      <c r="C67" s="175"/>
      <c r="D67" s="175">
        <v>261.30105674416967</v>
      </c>
      <c r="E67" s="175">
        <v>162.69894325583033</v>
      </c>
      <c r="F67" s="175">
        <v>218.16173133829258</v>
      </c>
      <c r="G67" s="175">
        <v>135.83826866170739</v>
      </c>
      <c r="H67" s="175">
        <v>175.02240593241552</v>
      </c>
      <c r="I67" s="175">
        <v>108.97759406758446</v>
      </c>
      <c r="J67" s="175">
        <v>147.59812049582223</v>
      </c>
      <c r="K67" s="175">
        <v>91.901879504177742</v>
      </c>
      <c r="L67" s="175">
        <v>120.17383505922896</v>
      </c>
      <c r="M67" s="175">
        <v>74.826164940771022</v>
      </c>
      <c r="N67" s="175">
        <v>97.063482163223398</v>
      </c>
      <c r="O67" s="175">
        <v>60.436517836776595</v>
      </c>
      <c r="P67" s="175">
        <v>73.953129267217832</v>
      </c>
      <c r="Q67" s="175">
        <v>46.046870732782168</v>
      </c>
      <c r="R67" s="175">
        <v>69.331058688016711</v>
      </c>
      <c r="S67" s="175">
        <v>43.168941311983282</v>
      </c>
      <c r="T67" s="175">
        <v>64.708988108815603</v>
      </c>
      <c r="U67" s="175">
        <v>40.291011891184397</v>
      </c>
      <c r="V67" s="175">
        <v>57.313675182093817</v>
      </c>
      <c r="W67" s="285">
        <v>35.686324817906183</v>
      </c>
      <c r="X67" s="175">
        <v>49.918362255372031</v>
      </c>
      <c r="Y67" s="175">
        <v>31.081637744627962</v>
      </c>
      <c r="Z67" s="175">
        <v>43.755601483103881</v>
      </c>
      <c r="AA67" s="175">
        <v>27.244398516896116</v>
      </c>
      <c r="AB67" s="175">
        <v>37.592840710835731</v>
      </c>
      <c r="AC67" s="175">
        <v>23.407159289164269</v>
      </c>
      <c r="AD67" s="175">
        <v>31.738217977180984</v>
      </c>
      <c r="AE67" s="175">
        <v>19.761782022819013</v>
      </c>
      <c r="AF67" s="175">
        <v>25.883595243526237</v>
      </c>
      <c r="AG67" s="175">
        <v>16.116404756473759</v>
      </c>
      <c r="AH67" s="175">
        <v>20.337110548484901</v>
      </c>
      <c r="AI67" s="175">
        <v>12.662889451515095</v>
      </c>
      <c r="AJ67" s="175">
        <v>14.790625853443565</v>
      </c>
      <c r="AK67" s="175">
        <v>9.2093741465564332</v>
      </c>
      <c r="AL67" s="175">
        <v>10.476693312855858</v>
      </c>
      <c r="AM67" s="175">
        <v>6.5233066871441405</v>
      </c>
      <c r="AN67" s="175">
        <v>6.1627607722681521</v>
      </c>
      <c r="AO67" s="175">
        <v>3.8372392277318474</v>
      </c>
    </row>
    <row r="68" spans="1:41" x14ac:dyDescent="0.25">
      <c r="A68" s="175">
        <v>19</v>
      </c>
      <c r="B68" s="175"/>
      <c r="C68" s="175"/>
      <c r="D68" s="175">
        <v>144.37177886020271</v>
      </c>
      <c r="E68" s="175">
        <v>298.62822113979729</v>
      </c>
      <c r="F68" s="175">
        <v>121.88497808965195</v>
      </c>
      <c r="G68" s="175">
        <v>252.11502191034805</v>
      </c>
      <c r="H68" s="175">
        <v>99.398177319101194</v>
      </c>
      <c r="I68" s="175">
        <v>205.60182268089881</v>
      </c>
      <c r="J68" s="175">
        <v>84.406976805400674</v>
      </c>
      <c r="K68" s="175">
        <v>174.59302319459931</v>
      </c>
      <c r="L68" s="175">
        <v>69.415776291700169</v>
      </c>
      <c r="M68" s="175">
        <v>143.58422370829982</v>
      </c>
      <c r="N68" s="175">
        <v>56.379949758047559</v>
      </c>
      <c r="O68" s="175">
        <v>116.62005024195244</v>
      </c>
      <c r="P68" s="175">
        <v>43.344123224394941</v>
      </c>
      <c r="Q68" s="175">
        <v>89.655876775605051</v>
      </c>
      <c r="R68" s="175">
        <v>40.574010085993763</v>
      </c>
      <c r="S68" s="175">
        <v>83.925989914006237</v>
      </c>
      <c r="T68" s="175">
        <v>37.803896947592584</v>
      </c>
      <c r="U68" s="175">
        <v>78.196103052407423</v>
      </c>
      <c r="V68" s="175">
        <v>33.404305492484824</v>
      </c>
      <c r="W68" s="285">
        <v>69.095694507515176</v>
      </c>
      <c r="X68" s="175">
        <v>29.004714037377067</v>
      </c>
      <c r="Y68" s="175">
        <v>59.99528596262293</v>
      </c>
      <c r="Z68" s="175">
        <v>25.745757403963914</v>
      </c>
      <c r="AA68" s="175">
        <v>53.254242596036086</v>
      </c>
      <c r="AB68" s="175">
        <v>22.486800770550762</v>
      </c>
      <c r="AC68" s="175">
        <v>46.513199229449242</v>
      </c>
      <c r="AD68" s="175">
        <v>19.390791968808266</v>
      </c>
      <c r="AE68" s="175">
        <v>40.109208031191734</v>
      </c>
      <c r="AF68" s="175">
        <v>16.29478316706577</v>
      </c>
      <c r="AG68" s="175">
        <v>33.705216832934234</v>
      </c>
      <c r="AH68" s="175">
        <v>13.198774365323272</v>
      </c>
      <c r="AI68" s="175">
        <v>27.301225634676726</v>
      </c>
      <c r="AJ68" s="175">
        <v>10.102765563580776</v>
      </c>
      <c r="AK68" s="175">
        <v>20.897234436419225</v>
      </c>
      <c r="AL68" s="175">
        <v>7.6585480885209112</v>
      </c>
      <c r="AM68" s="175">
        <v>15.841451911479089</v>
      </c>
      <c r="AN68" s="175">
        <v>5.2143306134610459</v>
      </c>
      <c r="AO68" s="175">
        <v>10.785669386538954</v>
      </c>
    </row>
    <row r="69" spans="1:41" x14ac:dyDescent="0.25">
      <c r="A69" s="175">
        <v>20</v>
      </c>
      <c r="B69" s="175"/>
      <c r="C69" s="175"/>
      <c r="D69" s="175">
        <v>469.96362703814077</v>
      </c>
      <c r="E69" s="175">
        <v>202.03637296185917</v>
      </c>
      <c r="F69" s="175">
        <v>398.97953753758827</v>
      </c>
      <c r="G69" s="175">
        <v>171.5204624624117</v>
      </c>
      <c r="H69" s="175">
        <v>327.99544803703577</v>
      </c>
      <c r="I69" s="175">
        <v>141.0045519629642</v>
      </c>
      <c r="J69" s="175">
        <v>279.74025418936952</v>
      </c>
      <c r="K69" s="175">
        <v>120.25974581063046</v>
      </c>
      <c r="L69" s="175">
        <v>231.48506034170327</v>
      </c>
      <c r="M69" s="175">
        <v>99.514939658296711</v>
      </c>
      <c r="N69" s="175">
        <v>186.37694435366745</v>
      </c>
      <c r="O69" s="175">
        <v>80.123055646332546</v>
      </c>
      <c r="P69" s="175">
        <v>141.26882836563161</v>
      </c>
      <c r="Q69" s="175">
        <v>60.73117163436838</v>
      </c>
      <c r="R69" s="175">
        <v>130.77856883353024</v>
      </c>
      <c r="S69" s="175">
        <v>56.221431166469742</v>
      </c>
      <c r="T69" s="175">
        <v>120.2883093014289</v>
      </c>
      <c r="U69" s="175">
        <v>51.711690698571097</v>
      </c>
      <c r="V69" s="175">
        <v>104.55292000327685</v>
      </c>
      <c r="W69" s="285">
        <v>44.947079996723133</v>
      </c>
      <c r="X69" s="175">
        <v>88.817530705124824</v>
      </c>
      <c r="Y69" s="175">
        <v>38.182469294875169</v>
      </c>
      <c r="Z69" s="175">
        <v>77.977595855286751</v>
      </c>
      <c r="AA69" s="175">
        <v>33.522404144713242</v>
      </c>
      <c r="AB69" s="175">
        <v>67.137661005448678</v>
      </c>
      <c r="AC69" s="175">
        <v>28.862338994551308</v>
      </c>
      <c r="AD69" s="175">
        <v>56.297726155610619</v>
      </c>
      <c r="AE69" s="175">
        <v>24.202273844389381</v>
      </c>
      <c r="AF69" s="175">
        <v>45.457791305772545</v>
      </c>
      <c r="AG69" s="175">
        <v>19.542208694227451</v>
      </c>
      <c r="AH69" s="175">
        <v>35.666882409144613</v>
      </c>
      <c r="AI69" s="175">
        <v>15.333117590855384</v>
      </c>
      <c r="AJ69" s="175">
        <v>25.87597351251668</v>
      </c>
      <c r="AK69" s="175">
        <v>11.124026487483317</v>
      </c>
      <c r="AL69" s="175">
        <v>17.833441204572306</v>
      </c>
      <c r="AM69" s="175">
        <v>7.6665587954276919</v>
      </c>
      <c r="AN69" s="175">
        <v>9.7909088966279327</v>
      </c>
      <c r="AO69" s="175">
        <v>4.2090911033720664</v>
      </c>
    </row>
    <row r="70" spans="1:41" x14ac:dyDescent="0.25">
      <c r="A70" s="175">
        <v>21</v>
      </c>
      <c r="B70" s="175"/>
      <c r="C70" s="175"/>
      <c r="D70" s="175">
        <v>283.42688459810046</v>
      </c>
      <c r="E70" s="175">
        <v>146.57311540189954</v>
      </c>
      <c r="F70" s="175">
        <v>237.28762431468874</v>
      </c>
      <c r="G70" s="175">
        <v>122.71237568531126</v>
      </c>
      <c r="H70" s="175">
        <v>191.14836403127705</v>
      </c>
      <c r="I70" s="175">
        <v>98.85163596872296</v>
      </c>
      <c r="J70" s="175">
        <v>161.15784484705944</v>
      </c>
      <c r="K70" s="175">
        <v>83.342155152940563</v>
      </c>
      <c r="L70" s="175">
        <v>131.16732566284185</v>
      </c>
      <c r="M70" s="175">
        <v>67.832674337158167</v>
      </c>
      <c r="N70" s="175">
        <v>106.12029865184691</v>
      </c>
      <c r="O70" s="175">
        <v>54.879701348153091</v>
      </c>
      <c r="P70" s="175">
        <v>81.073271640851985</v>
      </c>
      <c r="Q70" s="175">
        <v>41.926728359148015</v>
      </c>
      <c r="R70" s="175">
        <v>75.800213322747794</v>
      </c>
      <c r="S70" s="175">
        <v>39.199786677252206</v>
      </c>
      <c r="T70" s="175">
        <v>70.527155004643603</v>
      </c>
      <c r="U70" s="175">
        <v>36.472844995356404</v>
      </c>
      <c r="V70" s="175">
        <v>61.958435237724281</v>
      </c>
      <c r="W70" s="285">
        <v>32.041564762275719</v>
      </c>
      <c r="X70" s="175">
        <v>53.389715470804965</v>
      </c>
      <c r="Y70" s="175">
        <v>27.610284529195031</v>
      </c>
      <c r="Z70" s="175">
        <v>47.127958718056234</v>
      </c>
      <c r="AA70" s="175">
        <v>24.372041281943762</v>
      </c>
      <c r="AB70" s="175">
        <v>40.866201965307503</v>
      </c>
      <c r="AC70" s="175">
        <v>21.133798034692493</v>
      </c>
      <c r="AD70" s="175">
        <v>34.934011357440291</v>
      </c>
      <c r="AE70" s="175">
        <v>18.065988642559713</v>
      </c>
      <c r="AF70" s="175">
        <v>29.001820749573071</v>
      </c>
      <c r="AG70" s="175">
        <v>14.998179250426931</v>
      </c>
      <c r="AH70" s="175">
        <v>22.74006399682434</v>
      </c>
      <c r="AI70" s="175">
        <v>11.759936003175662</v>
      </c>
      <c r="AJ70" s="175">
        <v>16.478307244075609</v>
      </c>
      <c r="AK70" s="175">
        <v>8.5216927559243931</v>
      </c>
      <c r="AL70" s="175">
        <v>11.864381215734436</v>
      </c>
      <c r="AM70" s="175">
        <v>6.1356187842655627</v>
      </c>
      <c r="AN70" s="175">
        <v>7.2504551873932677</v>
      </c>
      <c r="AO70" s="175">
        <v>3.7495448126067328</v>
      </c>
    </row>
    <row r="71" spans="1:41" x14ac:dyDescent="0.25">
      <c r="A71" s="175">
        <v>22</v>
      </c>
      <c r="B71" s="175"/>
      <c r="C71" s="175"/>
      <c r="D71" s="175">
        <v>586.1488446037489</v>
      </c>
      <c r="E71" s="175">
        <v>68.851155396251073</v>
      </c>
      <c r="F71" s="175">
        <v>490.39628525626631</v>
      </c>
      <c r="G71" s="175">
        <v>57.603714743733725</v>
      </c>
      <c r="H71" s="175">
        <v>394.64372590878367</v>
      </c>
      <c r="I71" s="175">
        <v>46.356274091216378</v>
      </c>
      <c r="J71" s="175">
        <v>336.02884144840874</v>
      </c>
      <c r="K71" s="175">
        <v>39.471158551591266</v>
      </c>
      <c r="L71" s="175">
        <v>277.41395698803387</v>
      </c>
      <c r="M71" s="175">
        <v>32.586043011966161</v>
      </c>
      <c r="N71" s="175">
        <v>227.30046798374386</v>
      </c>
      <c r="O71" s="175">
        <v>26.699532016256143</v>
      </c>
      <c r="P71" s="175">
        <v>177.18697897945387</v>
      </c>
      <c r="Q71" s="175">
        <v>20.813021020546127</v>
      </c>
      <c r="R71" s="175">
        <v>165.55349046060084</v>
      </c>
      <c r="S71" s="175">
        <v>19.446509539399159</v>
      </c>
      <c r="T71" s="175">
        <v>153.92000194174781</v>
      </c>
      <c r="U71" s="175">
        <v>18.07999805825219</v>
      </c>
      <c r="V71" s="175">
        <v>135.57488543124882</v>
      </c>
      <c r="W71" s="285">
        <v>15.925114568751203</v>
      </c>
      <c r="X71" s="175">
        <v>117.22976892074979</v>
      </c>
      <c r="Y71" s="175">
        <v>13.770231079250216</v>
      </c>
      <c r="Z71" s="175">
        <v>103.3590710713481</v>
      </c>
      <c r="AA71" s="175">
        <v>12.140928928651908</v>
      </c>
      <c r="AB71" s="175">
        <v>89.488373221946404</v>
      </c>
      <c r="AC71" s="175">
        <v>10.5116267780536</v>
      </c>
      <c r="AD71" s="175">
        <v>75.61767537254471</v>
      </c>
      <c r="AE71" s="175">
        <v>8.8823246274552918</v>
      </c>
      <c r="AF71" s="175">
        <v>61.746977523143016</v>
      </c>
      <c r="AG71" s="175">
        <v>7.2530224768569838</v>
      </c>
      <c r="AH71" s="175">
        <v>48.771163405960792</v>
      </c>
      <c r="AI71" s="175">
        <v>5.7288365940392119</v>
      </c>
      <c r="AJ71" s="175">
        <v>35.79534928877856</v>
      </c>
      <c r="AK71" s="175">
        <v>4.20465071122144</v>
      </c>
      <c r="AL71" s="175">
        <v>24.60930263603526</v>
      </c>
      <c r="AM71" s="175">
        <v>2.89069736396474</v>
      </c>
      <c r="AN71" s="175">
        <v>13.423255983291961</v>
      </c>
      <c r="AO71" s="175">
        <v>1.57674401670804</v>
      </c>
    </row>
    <row r="72" spans="1:41" x14ac:dyDescent="0.25">
      <c r="A72" s="175">
        <v>23</v>
      </c>
      <c r="B72" s="175"/>
      <c r="C72" s="175"/>
      <c r="D72" s="175">
        <v>636.90589558812951</v>
      </c>
      <c r="E72" s="175">
        <v>54.094104411870468</v>
      </c>
      <c r="F72" s="175">
        <v>545.19513348824694</v>
      </c>
      <c r="G72" s="175">
        <v>46.304866511753083</v>
      </c>
      <c r="H72" s="175">
        <v>453.48437138836431</v>
      </c>
      <c r="I72" s="175">
        <v>38.515628611635698</v>
      </c>
      <c r="J72" s="175">
        <v>388.04252104573447</v>
      </c>
      <c r="K72" s="175">
        <v>32.957478954265511</v>
      </c>
      <c r="L72" s="175">
        <v>322.6006707031047</v>
      </c>
      <c r="M72" s="175">
        <v>27.399329296895317</v>
      </c>
      <c r="N72" s="175">
        <v>262.22825947152364</v>
      </c>
      <c r="O72" s="175">
        <v>22.271740528476336</v>
      </c>
      <c r="P72" s="175">
        <v>201.85584823994265</v>
      </c>
      <c r="Q72" s="175">
        <v>17.144151760057355</v>
      </c>
      <c r="R72" s="175">
        <v>188.95182141181846</v>
      </c>
      <c r="S72" s="175">
        <v>16.048178588181543</v>
      </c>
      <c r="T72" s="175">
        <v>176.04779458369427</v>
      </c>
      <c r="U72" s="175">
        <v>14.952205416305729</v>
      </c>
      <c r="V72" s="175">
        <v>154.84832193749025</v>
      </c>
      <c r="W72" s="285">
        <v>13.151678062509751</v>
      </c>
      <c r="X72" s="175">
        <v>133.64884929128621</v>
      </c>
      <c r="Y72" s="175">
        <v>11.351150708713773</v>
      </c>
      <c r="Z72" s="175">
        <v>117.97967385713542</v>
      </c>
      <c r="AA72" s="175">
        <v>10.020326142864572</v>
      </c>
      <c r="AB72" s="175">
        <v>102.31049842298462</v>
      </c>
      <c r="AC72" s="175">
        <v>8.6895015770153723</v>
      </c>
      <c r="AD72" s="175">
        <v>86.641322988833821</v>
      </c>
      <c r="AE72" s="175">
        <v>7.3586770111661703</v>
      </c>
      <c r="AF72" s="175">
        <v>70.972147554683033</v>
      </c>
      <c r="AG72" s="175">
        <v>6.0278524453169693</v>
      </c>
      <c r="AH72" s="175">
        <v>55.763830221536665</v>
      </c>
      <c r="AI72" s="175">
        <v>4.7361697784633332</v>
      </c>
      <c r="AJ72" s="175">
        <v>40.555512888390304</v>
      </c>
      <c r="AK72" s="175">
        <v>3.4444871116096967</v>
      </c>
      <c r="AL72" s="175">
        <v>29.034060363279419</v>
      </c>
      <c r="AM72" s="175">
        <v>2.4659396367205786</v>
      </c>
      <c r="AN72" s="175">
        <v>17.512607838168538</v>
      </c>
      <c r="AO72" s="175">
        <v>1.4873921618314601</v>
      </c>
    </row>
    <row r="73" spans="1:41" x14ac:dyDescent="0.25">
      <c r="A73" s="175">
        <v>24</v>
      </c>
      <c r="B73" s="175"/>
      <c r="C73" s="175"/>
      <c r="D73" s="175">
        <v>705.626382893818</v>
      </c>
      <c r="E73" s="175">
        <v>116.37361710618204</v>
      </c>
      <c r="F73" s="175">
        <v>610.34106841545565</v>
      </c>
      <c r="G73" s="175">
        <v>100.65893158454432</v>
      </c>
      <c r="H73" s="175">
        <v>515.05575393709341</v>
      </c>
      <c r="I73" s="175">
        <v>84.944246062906601</v>
      </c>
      <c r="J73" s="175">
        <v>442.94794838590036</v>
      </c>
      <c r="K73" s="175">
        <v>73.052051614099668</v>
      </c>
      <c r="L73" s="175">
        <v>370.84014283470725</v>
      </c>
      <c r="M73" s="175">
        <v>61.159857165292749</v>
      </c>
      <c r="N73" s="175">
        <v>297.87391102695238</v>
      </c>
      <c r="O73" s="175">
        <v>49.126088973047651</v>
      </c>
      <c r="P73" s="175">
        <v>224.90767921919746</v>
      </c>
      <c r="Q73" s="175">
        <v>37.092320780802545</v>
      </c>
      <c r="R73" s="175">
        <v>208.16836721624193</v>
      </c>
      <c r="S73" s="175">
        <v>34.331632783758081</v>
      </c>
      <c r="T73" s="175">
        <v>191.42905521328638</v>
      </c>
      <c r="U73" s="175">
        <v>31.570944786713618</v>
      </c>
      <c r="V73" s="175">
        <v>164.81784125986991</v>
      </c>
      <c r="W73" s="285">
        <v>27.182158740130113</v>
      </c>
      <c r="X73" s="175">
        <v>138.20662730645341</v>
      </c>
      <c r="Y73" s="175">
        <v>22.793372693546605</v>
      </c>
      <c r="Z73" s="175">
        <v>121.46731530349787</v>
      </c>
      <c r="AA73" s="175">
        <v>20.032684696502141</v>
      </c>
      <c r="AB73" s="175">
        <v>104.72800330054233</v>
      </c>
      <c r="AC73" s="175">
        <v>17.271996699457674</v>
      </c>
      <c r="AD73" s="175">
        <v>88.417904425867704</v>
      </c>
      <c r="AE73" s="175">
        <v>14.5820955741323</v>
      </c>
      <c r="AF73" s="175">
        <v>72.107805551193081</v>
      </c>
      <c r="AG73" s="175">
        <v>11.892194448806924</v>
      </c>
      <c r="AH73" s="175">
        <v>56.226919804799365</v>
      </c>
      <c r="AI73" s="175">
        <v>9.2730801952006363</v>
      </c>
      <c r="AJ73" s="175">
        <v>40.34603405840565</v>
      </c>
      <c r="AK73" s="175">
        <v>6.6539659415943504</v>
      </c>
      <c r="AL73" s="175">
        <v>27.898853338259226</v>
      </c>
      <c r="AM73" s="175">
        <v>4.6011466617407741</v>
      </c>
      <c r="AN73" s="175">
        <v>15.451672618112802</v>
      </c>
      <c r="AO73" s="175">
        <v>2.5483273818871979</v>
      </c>
    </row>
    <row r="74" spans="1:41" x14ac:dyDescent="0.25">
      <c r="A74" s="175">
        <v>25</v>
      </c>
      <c r="B74" s="175"/>
      <c r="C74" s="175"/>
      <c r="D74" s="175">
        <v>1439.2106241504407</v>
      </c>
      <c r="E74" s="175">
        <v>12.789375849559166</v>
      </c>
      <c r="F74" s="175">
        <v>1229.077943489357</v>
      </c>
      <c r="G74" s="175">
        <v>10.922056510642813</v>
      </c>
      <c r="H74" s="175">
        <v>1018.9452628282735</v>
      </c>
      <c r="I74" s="175">
        <v>9.0547371717264618</v>
      </c>
      <c r="J74" s="175">
        <v>891.08150902978389</v>
      </c>
      <c r="K74" s="175">
        <v>7.9184909702160402</v>
      </c>
      <c r="L74" s="175">
        <v>763.2177552312944</v>
      </c>
      <c r="M74" s="175">
        <v>6.7822447687056178</v>
      </c>
      <c r="N74" s="175">
        <v>646.75270816677869</v>
      </c>
      <c r="O74" s="175">
        <v>5.7472918332213192</v>
      </c>
      <c r="P74" s="175">
        <v>530.28766110226297</v>
      </c>
      <c r="Q74" s="175">
        <v>4.7123388977370206</v>
      </c>
      <c r="R74" s="175">
        <v>500.55190440493982</v>
      </c>
      <c r="S74" s="175">
        <v>4.4480955950601784</v>
      </c>
      <c r="T74" s="175">
        <v>470.81614770761666</v>
      </c>
      <c r="U74" s="175">
        <v>4.1838522923833361</v>
      </c>
      <c r="V74" s="175">
        <v>416.79618970747958</v>
      </c>
      <c r="W74" s="285">
        <v>3.7038102925204059</v>
      </c>
      <c r="X74" s="175">
        <v>362.7762317073425</v>
      </c>
      <c r="Y74" s="175">
        <v>3.2237682926574758</v>
      </c>
      <c r="Z74" s="175">
        <v>329.07570745037629</v>
      </c>
      <c r="AA74" s="175">
        <v>2.9242925496237211</v>
      </c>
      <c r="AB74" s="175">
        <v>295.37518319341001</v>
      </c>
      <c r="AC74" s="175">
        <v>2.6248168065899664</v>
      </c>
      <c r="AD74" s="175">
        <v>262.17025488139916</v>
      </c>
      <c r="AE74" s="175">
        <v>2.329745118600826</v>
      </c>
      <c r="AF74" s="175">
        <v>228.96532656938831</v>
      </c>
      <c r="AG74" s="175">
        <v>2.0346734306116856</v>
      </c>
      <c r="AH74" s="175">
        <v>197.74278203719899</v>
      </c>
      <c r="AI74" s="175">
        <v>1.7572179628010012</v>
      </c>
      <c r="AJ74" s="175">
        <v>166.52023750500967</v>
      </c>
      <c r="AK74" s="175">
        <v>1.4797624949903168</v>
      </c>
      <c r="AL74" s="175">
        <v>142.23603620219578</v>
      </c>
      <c r="AM74" s="175">
        <v>1.2639637978042289</v>
      </c>
      <c r="AN74" s="175">
        <v>117.95183489938185</v>
      </c>
      <c r="AO74" s="175">
        <v>1.0481651006181409</v>
      </c>
    </row>
    <row r="75" spans="1:41" x14ac:dyDescent="0.25">
      <c r="A75" s="175">
        <v>26</v>
      </c>
      <c r="B75" s="175"/>
      <c r="C75" s="175"/>
      <c r="D75" s="175">
        <v>696.01894968230818</v>
      </c>
      <c r="E75" s="175">
        <v>23.981050317691825</v>
      </c>
      <c r="F75" s="175">
        <v>580.98248438759333</v>
      </c>
      <c r="G75" s="175">
        <v>20.017515612406648</v>
      </c>
      <c r="H75" s="175">
        <v>465.94601909287854</v>
      </c>
      <c r="I75" s="175">
        <v>16.053980907121471</v>
      </c>
      <c r="J75" s="175">
        <v>396.82747061748267</v>
      </c>
      <c r="K75" s="175">
        <v>13.672529382517352</v>
      </c>
      <c r="L75" s="175">
        <v>327.70892214208675</v>
      </c>
      <c r="M75" s="175">
        <v>11.291077857913233</v>
      </c>
      <c r="N75" s="175">
        <v>270.67403598756431</v>
      </c>
      <c r="O75" s="175">
        <v>9.3259640124357084</v>
      </c>
      <c r="P75" s="175">
        <v>213.63914983304181</v>
      </c>
      <c r="Q75" s="175">
        <v>7.3608501669581843</v>
      </c>
      <c r="R75" s="175">
        <v>201.55548751216841</v>
      </c>
      <c r="S75" s="175">
        <v>6.9445124878315907</v>
      </c>
      <c r="T75" s="175">
        <v>189.47182519129501</v>
      </c>
      <c r="U75" s="175">
        <v>6.5281748087049962</v>
      </c>
      <c r="V75" s="175">
        <v>168.20457950655782</v>
      </c>
      <c r="W75" s="285">
        <v>5.7954204934421902</v>
      </c>
      <c r="X75" s="175">
        <v>146.93733382182063</v>
      </c>
      <c r="Y75" s="175">
        <v>5.0626661781793851</v>
      </c>
      <c r="Z75" s="175">
        <v>130.02020657259786</v>
      </c>
      <c r="AA75" s="175">
        <v>4.4797934274021527</v>
      </c>
      <c r="AB75" s="175">
        <v>113.10307932337508</v>
      </c>
      <c r="AC75" s="175">
        <v>3.8969206766249211</v>
      </c>
      <c r="AD75" s="175">
        <v>95.702605581317371</v>
      </c>
      <c r="AE75" s="175">
        <v>3.2973944186826256</v>
      </c>
      <c r="AF75" s="175">
        <v>78.302131839259673</v>
      </c>
      <c r="AG75" s="175">
        <v>2.6978681607403301</v>
      </c>
      <c r="AH75" s="175">
        <v>61.86835108287184</v>
      </c>
      <c r="AI75" s="175">
        <v>2.1316489171281621</v>
      </c>
      <c r="AJ75" s="175">
        <v>45.434570326484007</v>
      </c>
      <c r="AK75" s="175">
        <v>1.565429673515994</v>
      </c>
      <c r="AL75" s="175">
        <v>32.867561512775666</v>
      </c>
      <c r="AM75" s="175">
        <v>1.132438487224336</v>
      </c>
      <c r="AN75" s="175">
        <v>20.300552699067321</v>
      </c>
      <c r="AO75" s="175">
        <v>0.69944730093267815</v>
      </c>
    </row>
    <row r="76" spans="1:41" x14ac:dyDescent="0.25">
      <c r="A76" s="175">
        <v>27</v>
      </c>
      <c r="B76" s="175"/>
      <c r="C76" s="175"/>
      <c r="D76" s="175">
        <v>301.00562811420116</v>
      </c>
      <c r="E76" s="175">
        <v>228.9943718857989</v>
      </c>
      <c r="F76" s="175">
        <v>258.12652448661208</v>
      </c>
      <c r="G76" s="175">
        <v>196.37347551338792</v>
      </c>
      <c r="H76" s="175">
        <v>215.24742085902307</v>
      </c>
      <c r="I76" s="175">
        <v>163.75257914097693</v>
      </c>
      <c r="J76" s="175">
        <v>182.30718231067655</v>
      </c>
      <c r="K76" s="175">
        <v>138.69281768932348</v>
      </c>
      <c r="L76" s="175">
        <v>149.36694376233001</v>
      </c>
      <c r="M76" s="175">
        <v>113.63305623767002</v>
      </c>
      <c r="N76" s="175">
        <v>119.55034852460253</v>
      </c>
      <c r="O76" s="175">
        <v>90.949651475397488</v>
      </c>
      <c r="P76" s="175">
        <v>89.733753286875057</v>
      </c>
      <c r="Q76" s="175">
        <v>68.266246713124957</v>
      </c>
      <c r="R76" s="175">
        <v>83.486466665636925</v>
      </c>
      <c r="S76" s="175">
        <v>63.513533334363089</v>
      </c>
      <c r="T76" s="175">
        <v>77.239180044398779</v>
      </c>
      <c r="U76" s="175">
        <v>58.760819955601228</v>
      </c>
      <c r="V76" s="175">
        <v>67.868250112541574</v>
      </c>
      <c r="W76" s="285">
        <v>51.631749887458426</v>
      </c>
      <c r="X76" s="175">
        <v>58.497320180684369</v>
      </c>
      <c r="Y76" s="175">
        <v>44.502679819315631</v>
      </c>
      <c r="Z76" s="175">
        <v>51.682098412060952</v>
      </c>
      <c r="AA76" s="175">
        <v>39.317901587939055</v>
      </c>
      <c r="AB76" s="175">
        <v>44.866876643437529</v>
      </c>
      <c r="AC76" s="175">
        <v>34.133123356562479</v>
      </c>
      <c r="AD76" s="175">
        <v>38.051654874814105</v>
      </c>
      <c r="AE76" s="175">
        <v>28.948345125185899</v>
      </c>
      <c r="AF76" s="175">
        <v>31.236433106190685</v>
      </c>
      <c r="AG76" s="175">
        <v>23.763566893809319</v>
      </c>
      <c r="AH76" s="175">
        <v>24.705178911259903</v>
      </c>
      <c r="AI76" s="175">
        <v>18.794821088740097</v>
      </c>
      <c r="AJ76" s="175">
        <v>18.173924716329125</v>
      </c>
      <c r="AK76" s="175">
        <v>13.826075283670876</v>
      </c>
      <c r="AL76" s="175">
        <v>13.062508389861559</v>
      </c>
      <c r="AM76" s="175">
        <v>9.9374916101384425</v>
      </c>
      <c r="AN76" s="175">
        <v>7.9510920633939923</v>
      </c>
      <c r="AO76" s="175">
        <v>6.0489079366060086</v>
      </c>
    </row>
    <row r="77" spans="1:41" x14ac:dyDescent="0.25">
      <c r="A77" s="175">
        <v>28</v>
      </c>
      <c r="B77" s="175"/>
      <c r="C77" s="175"/>
      <c r="D77" s="175">
        <v>221.65021495128585</v>
      </c>
      <c r="E77" s="175">
        <v>224.34978504871415</v>
      </c>
      <c r="F77" s="175">
        <v>195.80758899283998</v>
      </c>
      <c r="G77" s="175">
        <v>198.19241100716002</v>
      </c>
      <c r="H77" s="175">
        <v>169.96496303439409</v>
      </c>
      <c r="I77" s="175">
        <v>172.03503696560591</v>
      </c>
      <c r="J77" s="175">
        <v>146.11023138044405</v>
      </c>
      <c r="K77" s="175">
        <v>147.88976861955595</v>
      </c>
      <c r="L77" s="175">
        <v>122.25549972649399</v>
      </c>
      <c r="M77" s="175">
        <v>123.74450027350601</v>
      </c>
      <c r="N77" s="175">
        <v>95.418926615800189</v>
      </c>
      <c r="O77" s="175">
        <v>96.581073384199811</v>
      </c>
      <c r="P77" s="175">
        <v>68.582353505106383</v>
      </c>
      <c r="Q77" s="175">
        <v>69.417646494893617</v>
      </c>
      <c r="R77" s="175">
        <v>62.370183803556891</v>
      </c>
      <c r="S77" s="175">
        <v>63.129816196443109</v>
      </c>
      <c r="T77" s="175">
        <v>56.1580141020074</v>
      </c>
      <c r="U77" s="175">
        <v>56.8419858979926</v>
      </c>
      <c r="V77" s="175">
        <v>47.709463307900094</v>
      </c>
      <c r="W77" s="285">
        <v>48.290536692099906</v>
      </c>
      <c r="X77" s="175">
        <v>39.260912513792789</v>
      </c>
      <c r="Y77" s="175">
        <v>39.739087486207211</v>
      </c>
      <c r="Z77" s="175">
        <v>34.539663540615173</v>
      </c>
      <c r="AA77" s="175">
        <v>34.960336459384827</v>
      </c>
      <c r="AB77" s="175">
        <v>29.818414567437557</v>
      </c>
      <c r="AC77" s="175">
        <v>30.181585432562443</v>
      </c>
      <c r="AD77" s="175">
        <v>25.097165594259945</v>
      </c>
      <c r="AE77" s="175">
        <v>25.402834405740055</v>
      </c>
      <c r="AF77" s="175">
        <v>20.375916621082332</v>
      </c>
      <c r="AG77" s="175">
        <v>20.624083378917668</v>
      </c>
      <c r="AH77" s="175">
        <v>15.903154435966698</v>
      </c>
      <c r="AI77" s="175">
        <v>16.096845564033302</v>
      </c>
      <c r="AJ77" s="175">
        <v>11.430392250851064</v>
      </c>
      <c r="AK77" s="175">
        <v>11.569607749148936</v>
      </c>
      <c r="AL77" s="175">
        <v>7.951577217983349</v>
      </c>
      <c r="AM77" s="175">
        <v>8.048422782016651</v>
      </c>
      <c r="AN77" s="175">
        <v>4.4727621851156343</v>
      </c>
      <c r="AO77" s="175">
        <v>4.5272378148843657</v>
      </c>
    </row>
    <row r="78" spans="1:41" x14ac:dyDescent="0.25">
      <c r="A78" s="175">
        <v>29</v>
      </c>
      <c r="B78" s="175"/>
      <c r="C78" s="175"/>
      <c r="D78" s="175">
        <v>0</v>
      </c>
      <c r="E78" s="175">
        <v>587</v>
      </c>
      <c r="F78" s="175">
        <v>0</v>
      </c>
      <c r="G78" s="175">
        <v>531</v>
      </c>
      <c r="H78" s="175">
        <v>0</v>
      </c>
      <c r="I78" s="175">
        <v>475</v>
      </c>
      <c r="J78" s="175">
        <v>0</v>
      </c>
      <c r="K78" s="175">
        <v>435</v>
      </c>
      <c r="L78" s="175">
        <v>0</v>
      </c>
      <c r="M78" s="175">
        <v>395</v>
      </c>
      <c r="N78" s="175">
        <v>0</v>
      </c>
      <c r="O78" s="175">
        <v>354.5</v>
      </c>
      <c r="P78" s="175">
        <v>0</v>
      </c>
      <c r="Q78" s="175">
        <v>314</v>
      </c>
      <c r="R78" s="175">
        <v>0</v>
      </c>
      <c r="S78" s="175">
        <v>302.5</v>
      </c>
      <c r="T78" s="175">
        <v>0</v>
      </c>
      <c r="U78" s="175">
        <v>291</v>
      </c>
      <c r="V78" s="175">
        <v>0</v>
      </c>
      <c r="W78" s="285">
        <v>269.5</v>
      </c>
      <c r="X78" s="175">
        <v>0</v>
      </c>
      <c r="Y78" s="175">
        <v>248</v>
      </c>
      <c r="Z78" s="175">
        <v>0</v>
      </c>
      <c r="AA78" s="175">
        <v>227</v>
      </c>
      <c r="AB78" s="175">
        <v>0</v>
      </c>
      <c r="AC78" s="175">
        <v>206</v>
      </c>
      <c r="AD78" s="175">
        <v>0</v>
      </c>
      <c r="AE78" s="175">
        <v>185.5</v>
      </c>
      <c r="AF78" s="175">
        <v>0</v>
      </c>
      <c r="AG78" s="175">
        <v>165</v>
      </c>
      <c r="AH78" s="175">
        <v>0</v>
      </c>
      <c r="AI78" s="175">
        <v>146</v>
      </c>
      <c r="AJ78" s="175">
        <v>0</v>
      </c>
      <c r="AK78" s="175">
        <v>127</v>
      </c>
      <c r="AL78" s="175">
        <v>0</v>
      </c>
      <c r="AM78" s="175">
        <v>112.5</v>
      </c>
      <c r="AN78" s="175">
        <v>0</v>
      </c>
      <c r="AO78" s="175">
        <v>98</v>
      </c>
    </row>
    <row r="79" spans="1:41" x14ac:dyDescent="0.25">
      <c r="A79" s="175">
        <v>30</v>
      </c>
      <c r="B79" s="175"/>
      <c r="C79" s="175"/>
      <c r="D79" s="175">
        <v>0</v>
      </c>
      <c r="E79" s="175">
        <v>973</v>
      </c>
      <c r="F79" s="175">
        <v>0</v>
      </c>
      <c r="G79" s="175">
        <v>898</v>
      </c>
      <c r="H79" s="175">
        <v>0</v>
      </c>
      <c r="I79" s="175">
        <v>823</v>
      </c>
      <c r="J79" s="175">
        <v>0</v>
      </c>
      <c r="K79" s="175">
        <v>750</v>
      </c>
      <c r="L79" s="175">
        <v>0</v>
      </c>
      <c r="M79" s="175">
        <v>677</v>
      </c>
      <c r="N79" s="175">
        <v>0</v>
      </c>
      <c r="O79" s="175">
        <v>588</v>
      </c>
      <c r="P79" s="175">
        <v>0</v>
      </c>
      <c r="Q79" s="175">
        <v>499</v>
      </c>
      <c r="R79" s="175">
        <v>0</v>
      </c>
      <c r="S79" s="175">
        <v>476</v>
      </c>
      <c r="T79" s="175">
        <v>0</v>
      </c>
      <c r="U79" s="175">
        <v>453</v>
      </c>
      <c r="V79" s="175">
        <v>0</v>
      </c>
      <c r="W79" s="285">
        <v>415</v>
      </c>
      <c r="X79" s="175">
        <v>0</v>
      </c>
      <c r="Y79" s="175">
        <v>377</v>
      </c>
      <c r="Z79" s="175">
        <v>0</v>
      </c>
      <c r="AA79" s="175">
        <v>353.5</v>
      </c>
      <c r="AB79" s="175">
        <v>0</v>
      </c>
      <c r="AC79" s="175">
        <v>330</v>
      </c>
      <c r="AD79" s="175">
        <v>0</v>
      </c>
      <c r="AE79" s="175">
        <v>306.5</v>
      </c>
      <c r="AF79" s="175">
        <v>0</v>
      </c>
      <c r="AG79" s="175">
        <v>283</v>
      </c>
      <c r="AH79" s="175">
        <v>0</v>
      </c>
      <c r="AI79" s="175">
        <v>261</v>
      </c>
      <c r="AJ79" s="175">
        <v>0</v>
      </c>
      <c r="AK79" s="175">
        <v>239</v>
      </c>
      <c r="AL79" s="175">
        <v>0</v>
      </c>
      <c r="AM79" s="175">
        <v>222.5</v>
      </c>
      <c r="AN79" s="175">
        <v>0</v>
      </c>
      <c r="AO79" s="175">
        <v>206</v>
      </c>
    </row>
    <row r="80" spans="1:41" x14ac:dyDescent="0.25">
      <c r="A80" s="175">
        <v>31</v>
      </c>
      <c r="B80" s="175"/>
      <c r="C80" s="175"/>
      <c r="D80" s="175">
        <v>0</v>
      </c>
      <c r="E80" s="175">
        <v>435</v>
      </c>
      <c r="F80" s="175">
        <v>0</v>
      </c>
      <c r="G80" s="175">
        <v>418</v>
      </c>
      <c r="H80" s="175">
        <v>0</v>
      </c>
      <c r="I80" s="175">
        <v>401</v>
      </c>
      <c r="J80" s="175">
        <v>0</v>
      </c>
      <c r="K80" s="175">
        <v>380.5</v>
      </c>
      <c r="L80" s="175">
        <v>0</v>
      </c>
      <c r="M80" s="175">
        <v>360</v>
      </c>
      <c r="N80" s="175">
        <v>0</v>
      </c>
      <c r="O80" s="175">
        <v>324.5</v>
      </c>
      <c r="P80" s="175">
        <v>0</v>
      </c>
      <c r="Q80" s="175">
        <v>289</v>
      </c>
      <c r="R80" s="175">
        <v>0</v>
      </c>
      <c r="S80" s="175">
        <v>276</v>
      </c>
      <c r="T80" s="175">
        <v>0</v>
      </c>
      <c r="U80" s="175">
        <v>263</v>
      </c>
      <c r="V80" s="175">
        <v>0</v>
      </c>
      <c r="W80" s="285">
        <v>238</v>
      </c>
      <c r="X80" s="175">
        <v>0</v>
      </c>
      <c r="Y80" s="175">
        <v>213</v>
      </c>
      <c r="Z80" s="175">
        <v>0</v>
      </c>
      <c r="AA80" s="175">
        <v>199</v>
      </c>
      <c r="AB80" s="175">
        <v>0</v>
      </c>
      <c r="AC80" s="175">
        <v>185</v>
      </c>
      <c r="AD80" s="175">
        <v>0</v>
      </c>
      <c r="AE80" s="175">
        <v>172.5</v>
      </c>
      <c r="AF80" s="175">
        <v>0</v>
      </c>
      <c r="AG80" s="175">
        <v>160</v>
      </c>
      <c r="AH80" s="175">
        <v>0</v>
      </c>
      <c r="AI80" s="175">
        <v>148.5</v>
      </c>
      <c r="AJ80" s="175">
        <v>0</v>
      </c>
      <c r="AK80" s="175">
        <v>137</v>
      </c>
      <c r="AL80" s="175">
        <v>0</v>
      </c>
      <c r="AM80" s="175">
        <v>127</v>
      </c>
      <c r="AN80" s="175">
        <v>0</v>
      </c>
      <c r="AO80" s="175">
        <v>117</v>
      </c>
    </row>
    <row r="81" spans="1:41" x14ac:dyDescent="0.25">
      <c r="A81" s="175">
        <v>32</v>
      </c>
      <c r="B81" s="175"/>
      <c r="C81" s="175"/>
      <c r="D81" s="175">
        <v>0.30815213370284278</v>
      </c>
      <c r="E81" s="175">
        <v>323.69184786629717</v>
      </c>
      <c r="F81" s="175">
        <v>0.28485050630864633</v>
      </c>
      <c r="G81" s="175">
        <v>299.21514949369134</v>
      </c>
      <c r="H81" s="175">
        <v>0.26154887891444989</v>
      </c>
      <c r="I81" s="175">
        <v>274.73845112108557</v>
      </c>
      <c r="J81" s="175">
        <v>0.24157605543371008</v>
      </c>
      <c r="K81" s="175">
        <v>253.75842394456629</v>
      </c>
      <c r="L81" s="175">
        <v>0.22160323195297027</v>
      </c>
      <c r="M81" s="175">
        <v>232.77839676804703</v>
      </c>
      <c r="N81" s="175">
        <v>0.19639943089394146</v>
      </c>
      <c r="O81" s="175">
        <v>206.30360056910607</v>
      </c>
      <c r="P81" s="175">
        <v>0.17119562983491265</v>
      </c>
      <c r="Q81" s="175">
        <v>179.82880437016507</v>
      </c>
      <c r="R81" s="175">
        <v>0.1635869351755832</v>
      </c>
      <c r="S81" s="175">
        <v>171.83641306482443</v>
      </c>
      <c r="T81" s="175">
        <v>0.15597824051625375</v>
      </c>
      <c r="U81" s="175">
        <v>163.84402175948375</v>
      </c>
      <c r="V81" s="175">
        <v>0.14266302486242721</v>
      </c>
      <c r="W81" s="285">
        <v>149.85733697513757</v>
      </c>
      <c r="X81" s="175">
        <v>0.12934780920860067</v>
      </c>
      <c r="Y81" s="175">
        <v>135.87065219079139</v>
      </c>
      <c r="Z81" s="175">
        <v>0.11841031063581459</v>
      </c>
      <c r="AA81" s="175">
        <v>124.38158968936419</v>
      </c>
      <c r="AB81" s="175">
        <v>0.1074728120630285</v>
      </c>
      <c r="AC81" s="175">
        <v>112.89252718793698</v>
      </c>
      <c r="AD81" s="175">
        <v>9.7486400322658595E-2</v>
      </c>
      <c r="AE81" s="175">
        <v>102.40251359967733</v>
      </c>
      <c r="AF81" s="175">
        <v>8.749998858228869E-2</v>
      </c>
      <c r="AG81" s="175">
        <v>91.912500011417706</v>
      </c>
      <c r="AH81" s="175">
        <v>7.7989120258126876E-2</v>
      </c>
      <c r="AI81" s="175">
        <v>81.922010879741876</v>
      </c>
      <c r="AJ81" s="175">
        <v>6.8478251933965062E-2</v>
      </c>
      <c r="AK81" s="175">
        <v>71.931521748066032</v>
      </c>
      <c r="AL81" s="175">
        <v>6.0869557274635611E-2</v>
      </c>
      <c r="AM81" s="175">
        <v>63.939130442725364</v>
      </c>
      <c r="AN81" s="175">
        <v>5.3260862615306159E-2</v>
      </c>
      <c r="AO81" s="175">
        <v>55.946739137384697</v>
      </c>
    </row>
    <row r="82" spans="1:41" x14ac:dyDescent="0.25">
      <c r="A82" s="175">
        <v>33</v>
      </c>
      <c r="B82" s="175"/>
      <c r="C82" s="175"/>
      <c r="D82" s="175">
        <v>0.22427142748913065</v>
      </c>
      <c r="E82" s="175">
        <v>635.77572857251084</v>
      </c>
      <c r="F82" s="175">
        <v>0.20364268769649835</v>
      </c>
      <c r="G82" s="175">
        <v>577.29635731230348</v>
      </c>
      <c r="H82" s="175">
        <v>0.18301394790386605</v>
      </c>
      <c r="I82" s="175">
        <v>518.81698605209613</v>
      </c>
      <c r="J82" s="175">
        <v>0.16873251266281292</v>
      </c>
      <c r="K82" s="175">
        <v>478.33126748733719</v>
      </c>
      <c r="L82" s="175">
        <v>0.15445107742175979</v>
      </c>
      <c r="M82" s="175">
        <v>437.84554892257825</v>
      </c>
      <c r="N82" s="175">
        <v>0.13928807210409844</v>
      </c>
      <c r="O82" s="175">
        <v>394.86071192789592</v>
      </c>
      <c r="P82" s="175">
        <v>0.12412506678643709</v>
      </c>
      <c r="Q82" s="175">
        <v>351.87587493321354</v>
      </c>
      <c r="R82" s="175">
        <v>0.11989353041871764</v>
      </c>
      <c r="S82" s="175">
        <v>339.88010646958128</v>
      </c>
      <c r="T82" s="175">
        <v>0.1156619940509982</v>
      </c>
      <c r="U82" s="175">
        <v>327.88433800594902</v>
      </c>
      <c r="V82" s="175">
        <v>0.1071989213155593</v>
      </c>
      <c r="W82" s="285">
        <v>303.89280107868444</v>
      </c>
      <c r="X82" s="175">
        <v>9.8735848580120411E-2</v>
      </c>
      <c r="Y82" s="175">
        <v>279.90126415141987</v>
      </c>
      <c r="Z82" s="175">
        <v>9.3446428120471103E-2</v>
      </c>
      <c r="AA82" s="175">
        <v>264.90655357187956</v>
      </c>
      <c r="AB82" s="175">
        <v>8.8157007660821796E-2</v>
      </c>
      <c r="AC82" s="175">
        <v>249.91184299233919</v>
      </c>
      <c r="AD82" s="175">
        <v>8.2691273185850844E-2</v>
      </c>
      <c r="AE82" s="175">
        <v>234.41730872681416</v>
      </c>
      <c r="AF82" s="175">
        <v>7.7225538710879893E-2</v>
      </c>
      <c r="AG82" s="175">
        <v>218.92277446128912</v>
      </c>
      <c r="AH82" s="175">
        <v>7.2288746281873872E-2</v>
      </c>
      <c r="AI82" s="175">
        <v>204.92771125371812</v>
      </c>
      <c r="AJ82" s="175">
        <v>6.7351953852867852E-2</v>
      </c>
      <c r="AK82" s="175">
        <v>190.93264804614714</v>
      </c>
      <c r="AL82" s="175">
        <v>6.3649359531113336E-2</v>
      </c>
      <c r="AM82" s="175">
        <v>180.43635064046887</v>
      </c>
      <c r="AN82" s="175">
        <v>5.9946765209358821E-2</v>
      </c>
      <c r="AO82" s="175">
        <v>169.94005323479064</v>
      </c>
    </row>
    <row r="83" spans="1:41" x14ac:dyDescent="0.25">
      <c r="A83" s="175">
        <v>34</v>
      </c>
      <c r="B83" s="175"/>
      <c r="C83" s="175"/>
      <c r="D83" s="175">
        <v>1.1458355280511152</v>
      </c>
      <c r="E83" s="175">
        <v>459.85416447194888</v>
      </c>
      <c r="F83" s="175">
        <v>0.99421737791853815</v>
      </c>
      <c r="G83" s="175">
        <v>399.00578262208148</v>
      </c>
      <c r="H83" s="175">
        <v>0.84259922778596108</v>
      </c>
      <c r="I83" s="175">
        <v>338.15740077221403</v>
      </c>
      <c r="J83" s="175">
        <v>0.74317748999410727</v>
      </c>
      <c r="K83" s="175">
        <v>298.25682251000592</v>
      </c>
      <c r="L83" s="175">
        <v>0.64375575220225345</v>
      </c>
      <c r="M83" s="175">
        <v>258.35624424779775</v>
      </c>
      <c r="N83" s="175">
        <v>0.5505478730223905</v>
      </c>
      <c r="O83" s="175">
        <v>220.9494521269776</v>
      </c>
      <c r="P83" s="175">
        <v>0.45733999384252755</v>
      </c>
      <c r="Q83" s="175">
        <v>183.54266000615746</v>
      </c>
      <c r="R83" s="175">
        <v>0.43497010283936044</v>
      </c>
      <c r="S83" s="175">
        <v>174.56502989716063</v>
      </c>
      <c r="T83" s="175">
        <v>0.41260021183619333</v>
      </c>
      <c r="U83" s="175">
        <v>165.58739978816379</v>
      </c>
      <c r="V83" s="175">
        <v>0.37158874499705363</v>
      </c>
      <c r="W83" s="285">
        <v>149.12841125500296</v>
      </c>
      <c r="X83" s="175">
        <v>0.33057727815791393</v>
      </c>
      <c r="Y83" s="175">
        <v>132.6694227218421</v>
      </c>
      <c r="Z83" s="175">
        <v>0.29950798509795962</v>
      </c>
      <c r="AA83" s="175">
        <v>120.20049201490204</v>
      </c>
      <c r="AB83" s="175">
        <v>0.2684386920380053</v>
      </c>
      <c r="AC83" s="175">
        <v>107.731561307962</v>
      </c>
      <c r="AD83" s="175">
        <v>0.23612662725565281</v>
      </c>
      <c r="AE83" s="175">
        <v>94.763873372744342</v>
      </c>
      <c r="AF83" s="175">
        <v>0.20381456247330032</v>
      </c>
      <c r="AG83" s="175">
        <v>81.796185437526702</v>
      </c>
      <c r="AH83" s="175">
        <v>0.17523081285814235</v>
      </c>
      <c r="AI83" s="175">
        <v>70.324769187141854</v>
      </c>
      <c r="AJ83" s="175">
        <v>0.14664706324298438</v>
      </c>
      <c r="AK83" s="175">
        <v>58.853352936757013</v>
      </c>
      <c r="AL83" s="175">
        <v>0.1230344005174191</v>
      </c>
      <c r="AM83" s="175">
        <v>49.376965599482581</v>
      </c>
      <c r="AN83" s="175">
        <v>9.9421737791853815E-2</v>
      </c>
      <c r="AO83" s="175">
        <v>39.900578262208143</v>
      </c>
    </row>
    <row r="84" spans="1:41" x14ac:dyDescent="0.25">
      <c r="A84" s="175">
        <v>35</v>
      </c>
      <c r="B84" s="175"/>
      <c r="C84" s="175"/>
      <c r="D84" s="175">
        <v>3.6021724075294337</v>
      </c>
      <c r="E84" s="175">
        <v>234.39782759247058</v>
      </c>
      <c r="F84" s="175">
        <v>3.2691984875057045</v>
      </c>
      <c r="G84" s="175">
        <v>212.73080151249428</v>
      </c>
      <c r="H84" s="175">
        <v>2.9362245674819754</v>
      </c>
      <c r="I84" s="175">
        <v>191.06377543251801</v>
      </c>
      <c r="J84" s="175">
        <v>2.6713589492812817</v>
      </c>
      <c r="K84" s="175">
        <v>173.82864105071872</v>
      </c>
      <c r="L84" s="175">
        <v>2.406493331080588</v>
      </c>
      <c r="M84" s="175">
        <v>156.59350666891942</v>
      </c>
      <c r="N84" s="175">
        <v>2.1037897674226524</v>
      </c>
      <c r="O84" s="175">
        <v>136.89621023257735</v>
      </c>
      <c r="P84" s="175">
        <v>1.8010862037647168</v>
      </c>
      <c r="Q84" s="175">
        <v>117.19891379623529</v>
      </c>
      <c r="R84" s="175">
        <v>1.7178427237587846</v>
      </c>
      <c r="S84" s="175">
        <v>111.78215727624122</v>
      </c>
      <c r="T84" s="175">
        <v>1.6345992437528523</v>
      </c>
      <c r="U84" s="175">
        <v>106.36540075624714</v>
      </c>
      <c r="V84" s="175">
        <v>1.4983826401067812</v>
      </c>
      <c r="W84" s="285">
        <v>97.501617359893217</v>
      </c>
      <c r="X84" s="175">
        <v>1.3621660364607102</v>
      </c>
      <c r="Y84" s="175">
        <v>88.637833963539293</v>
      </c>
      <c r="Z84" s="175">
        <v>1.2562197891804328</v>
      </c>
      <c r="AA84" s="175">
        <v>81.743780210819565</v>
      </c>
      <c r="AB84" s="175">
        <v>1.1502735419001553</v>
      </c>
      <c r="AC84" s="175">
        <v>74.849726458099838</v>
      </c>
      <c r="AD84" s="175">
        <v>1.0518948837113262</v>
      </c>
      <c r="AE84" s="175">
        <v>68.448105116288673</v>
      </c>
      <c r="AF84" s="175">
        <v>0.95351622552249715</v>
      </c>
      <c r="AG84" s="175">
        <v>62.046483774477501</v>
      </c>
      <c r="AH84" s="175">
        <v>0.87027274551656486</v>
      </c>
      <c r="AI84" s="175">
        <v>56.629727254483434</v>
      </c>
      <c r="AJ84" s="175">
        <v>0.78702926551063257</v>
      </c>
      <c r="AK84" s="175">
        <v>51.212970734489367</v>
      </c>
      <c r="AL84" s="175">
        <v>0.70378578550470028</v>
      </c>
      <c r="AM84" s="175">
        <v>45.796214214495301</v>
      </c>
      <c r="AN84" s="175">
        <v>0.62054230549876799</v>
      </c>
      <c r="AO84" s="175">
        <v>40.379457694501234</v>
      </c>
    </row>
    <row r="85" spans="1:41" x14ac:dyDescent="0.25">
      <c r="A85" s="175">
        <v>36</v>
      </c>
      <c r="B85" s="175"/>
      <c r="C85" s="175"/>
      <c r="D85" s="175">
        <v>3.1564002950200867</v>
      </c>
      <c r="E85" s="175">
        <v>237.84359970497991</v>
      </c>
      <c r="F85" s="175">
        <v>2.7765844918848894</v>
      </c>
      <c r="G85" s="175">
        <v>209.22341550811512</v>
      </c>
      <c r="H85" s="175">
        <v>2.3967686887496922</v>
      </c>
      <c r="I85" s="175">
        <v>180.60323131125031</v>
      </c>
      <c r="J85" s="175">
        <v>2.1282782072230875</v>
      </c>
      <c r="K85" s="175">
        <v>160.37172179277692</v>
      </c>
      <c r="L85" s="175">
        <v>1.8597877256964825</v>
      </c>
      <c r="M85" s="175">
        <v>140.14021227430351</v>
      </c>
      <c r="N85" s="175">
        <v>1.6043943408297121</v>
      </c>
      <c r="O85" s="175">
        <v>120.89560565917029</v>
      </c>
      <c r="P85" s="175">
        <v>1.3490009559629415</v>
      </c>
      <c r="Q85" s="175">
        <v>101.65099904403706</v>
      </c>
      <c r="R85" s="175">
        <v>1.2966125693236039</v>
      </c>
      <c r="S85" s="175">
        <v>97.703387430676401</v>
      </c>
      <c r="T85" s="175">
        <v>1.2442241826842664</v>
      </c>
      <c r="U85" s="175">
        <v>93.755775817315737</v>
      </c>
      <c r="V85" s="175">
        <v>1.1525445060654258</v>
      </c>
      <c r="W85" s="285">
        <v>86.847455493934575</v>
      </c>
      <c r="X85" s="175">
        <v>1.0608648294465852</v>
      </c>
      <c r="Y85" s="175">
        <v>79.939135170553413</v>
      </c>
      <c r="Z85" s="175">
        <v>0.96918515282774442</v>
      </c>
      <c r="AA85" s="175">
        <v>73.030814847172252</v>
      </c>
      <c r="AB85" s="175">
        <v>0.87750547620890373</v>
      </c>
      <c r="AC85" s="175">
        <v>66.12249452379109</v>
      </c>
      <c r="AD85" s="175">
        <v>0.7792772512601458</v>
      </c>
      <c r="AE85" s="175">
        <v>58.720722748739853</v>
      </c>
      <c r="AF85" s="175">
        <v>0.68104902631138797</v>
      </c>
      <c r="AG85" s="175">
        <v>51.318950973688615</v>
      </c>
      <c r="AH85" s="175">
        <v>0.60901499468229892</v>
      </c>
      <c r="AI85" s="175">
        <v>45.890985005317702</v>
      </c>
      <c r="AJ85" s="175">
        <v>0.53698096305320975</v>
      </c>
      <c r="AK85" s="175">
        <v>40.46301903694679</v>
      </c>
      <c r="AL85" s="175">
        <v>0.45839838309420344</v>
      </c>
      <c r="AM85" s="175">
        <v>34.541601616905794</v>
      </c>
      <c r="AN85" s="175">
        <v>0.37981580313519714</v>
      </c>
      <c r="AO85" s="175">
        <v>28.620184196864802</v>
      </c>
    </row>
    <row r="86" spans="1:41" x14ac:dyDescent="0.25">
      <c r="A86" s="175">
        <v>37</v>
      </c>
      <c r="B86" s="175"/>
      <c r="C86" s="175"/>
      <c r="D86" s="175">
        <v>0.19774896967874156</v>
      </c>
      <c r="E86" s="175">
        <v>639.80225103032126</v>
      </c>
      <c r="F86" s="175">
        <v>0.17411178814682948</v>
      </c>
      <c r="G86" s="175">
        <v>563.32588821185323</v>
      </c>
      <c r="H86" s="175">
        <v>0.15047460661491741</v>
      </c>
      <c r="I86" s="175">
        <v>486.84952539338508</v>
      </c>
      <c r="J86" s="175">
        <v>0.1339440286808351</v>
      </c>
      <c r="K86" s="175">
        <v>433.36605597131916</v>
      </c>
      <c r="L86" s="175">
        <v>0.1174134507467528</v>
      </c>
      <c r="M86" s="175">
        <v>379.88258654925323</v>
      </c>
      <c r="N86" s="175">
        <v>0.1008828728126705</v>
      </c>
      <c r="O86" s="175">
        <v>326.39911712718731</v>
      </c>
      <c r="P86" s="175">
        <v>8.4352294878588197E-2</v>
      </c>
      <c r="Q86" s="175">
        <v>272.91564770512139</v>
      </c>
      <c r="R86" s="175">
        <v>8.0026536166865725E-2</v>
      </c>
      <c r="S86" s="175">
        <v>258.91997346383312</v>
      </c>
      <c r="T86" s="175">
        <v>7.5700777455143253E-2</v>
      </c>
      <c r="U86" s="175">
        <v>244.92429922254485</v>
      </c>
      <c r="V86" s="175">
        <v>6.8285191092190445E-2</v>
      </c>
      <c r="W86" s="285">
        <v>220.9317148089078</v>
      </c>
      <c r="X86" s="175">
        <v>6.0869604729237636E-2</v>
      </c>
      <c r="Y86" s="175">
        <v>196.93913039527075</v>
      </c>
      <c r="Z86" s="175">
        <v>5.3608509748846345E-2</v>
      </c>
      <c r="AA86" s="175">
        <v>173.44639149025116</v>
      </c>
      <c r="AB86" s="175">
        <v>4.6347414768455053E-2</v>
      </c>
      <c r="AC86" s="175">
        <v>149.95365258523154</v>
      </c>
      <c r="AD86" s="175">
        <v>3.9086319788063761E-2</v>
      </c>
      <c r="AE86" s="175">
        <v>126.46091368021193</v>
      </c>
      <c r="AF86" s="175">
        <v>3.182522480767247E-2</v>
      </c>
      <c r="AG86" s="175">
        <v>102.96817477519232</v>
      </c>
      <c r="AH86" s="175">
        <v>2.4100655679596628E-2</v>
      </c>
      <c r="AI86" s="175">
        <v>77.975899344320396</v>
      </c>
      <c r="AJ86" s="175">
        <v>1.6376086551520785E-2</v>
      </c>
      <c r="AK86" s="175">
        <v>52.983623913448483</v>
      </c>
      <c r="AL86" s="175">
        <v>1.9156931437628089E-2</v>
      </c>
      <c r="AM86" s="175">
        <v>61.980843068562372</v>
      </c>
      <c r="AN86" s="175">
        <v>2.1937776323735392E-2</v>
      </c>
      <c r="AO86" s="175">
        <v>70.978062223676261</v>
      </c>
    </row>
    <row r="87" spans="1:41" x14ac:dyDescent="0.25">
      <c r="A87" s="175">
        <v>38</v>
      </c>
      <c r="B87" s="175"/>
      <c r="C87" s="175"/>
      <c r="D87" s="175">
        <v>1.4105086628945995</v>
      </c>
      <c r="E87" s="175">
        <v>556.58949133710541</v>
      </c>
      <c r="F87" s="175">
        <v>1.2449382015691581</v>
      </c>
      <c r="G87" s="175">
        <v>491.25506179843086</v>
      </c>
      <c r="H87" s="175">
        <v>1.079367740243717</v>
      </c>
      <c r="I87" s="175">
        <v>425.9206322597563</v>
      </c>
      <c r="J87" s="175">
        <v>0.95929755836648845</v>
      </c>
      <c r="K87" s="175">
        <v>378.54070244163353</v>
      </c>
      <c r="L87" s="175">
        <v>0.83922737648925994</v>
      </c>
      <c r="M87" s="175">
        <v>331.16077262351075</v>
      </c>
      <c r="N87" s="175">
        <v>0.71789329796069223</v>
      </c>
      <c r="O87" s="175">
        <v>283.2821067020393</v>
      </c>
      <c r="P87" s="175">
        <v>0.59655921943212453</v>
      </c>
      <c r="Q87" s="175">
        <v>235.40344078056788</v>
      </c>
      <c r="R87" s="175">
        <v>0.5674895964513218</v>
      </c>
      <c r="S87" s="175">
        <v>223.93251040354869</v>
      </c>
      <c r="T87" s="175">
        <v>0.53841997347051918</v>
      </c>
      <c r="U87" s="175">
        <v>212.46158002652948</v>
      </c>
      <c r="V87" s="175">
        <v>0.48533631411427081</v>
      </c>
      <c r="W87" s="285">
        <v>191.51466368588572</v>
      </c>
      <c r="X87" s="175">
        <v>0.43225265475802244</v>
      </c>
      <c r="Y87" s="175">
        <v>170.56774734524197</v>
      </c>
      <c r="Z87" s="175">
        <v>0.39686354852052352</v>
      </c>
      <c r="AA87" s="175">
        <v>156.60313645147949</v>
      </c>
      <c r="AB87" s="175">
        <v>0.36147444228302461</v>
      </c>
      <c r="AC87" s="175">
        <v>142.63852555771697</v>
      </c>
      <c r="AD87" s="175">
        <v>0.32734923269686494</v>
      </c>
      <c r="AE87" s="175">
        <v>129.17265076730314</v>
      </c>
      <c r="AF87" s="175">
        <v>0.29322402311070528</v>
      </c>
      <c r="AG87" s="175">
        <v>115.70677597688929</v>
      </c>
      <c r="AH87" s="175">
        <v>0.26036271017588486</v>
      </c>
      <c r="AI87" s="175">
        <v>102.73963728982412</v>
      </c>
      <c r="AJ87" s="175">
        <v>0.22750139724106444</v>
      </c>
      <c r="AK87" s="175">
        <v>89.77249860275893</v>
      </c>
      <c r="AL87" s="175">
        <v>0.2022234642142795</v>
      </c>
      <c r="AM87" s="175">
        <v>79.797776535785715</v>
      </c>
      <c r="AN87" s="175">
        <v>0.17694553118749456</v>
      </c>
      <c r="AO87" s="175">
        <v>69.823054468812501</v>
      </c>
    </row>
    <row r="88" spans="1:41" x14ac:dyDescent="0.25">
      <c r="A88" s="175">
        <v>39</v>
      </c>
      <c r="B88" s="175"/>
      <c r="C88" s="175"/>
      <c r="D88" s="175">
        <v>6.1481415473954995</v>
      </c>
      <c r="E88" s="175">
        <v>515.85185845260446</v>
      </c>
      <c r="F88" s="175">
        <v>5.3590122683236636</v>
      </c>
      <c r="G88" s="175">
        <v>449.64098773167632</v>
      </c>
      <c r="H88" s="175">
        <v>4.5698829892518269</v>
      </c>
      <c r="I88" s="175">
        <v>383.43011701074818</v>
      </c>
      <c r="J88" s="175">
        <v>4.0398707868901464</v>
      </c>
      <c r="K88" s="175">
        <v>338.96012921310984</v>
      </c>
      <c r="L88" s="175">
        <v>3.5098585845284651</v>
      </c>
      <c r="M88" s="175">
        <v>294.49014141547156</v>
      </c>
      <c r="N88" s="175">
        <v>2.9975134555788405</v>
      </c>
      <c r="O88" s="175">
        <v>251.50248654442115</v>
      </c>
      <c r="P88" s="175">
        <v>2.4851683266292155</v>
      </c>
      <c r="Q88" s="175">
        <v>208.51483167337079</v>
      </c>
      <c r="R88" s="175">
        <v>2.3614988127448231</v>
      </c>
      <c r="S88" s="175">
        <v>198.13850118725517</v>
      </c>
      <c r="T88" s="175">
        <v>2.2378292988604311</v>
      </c>
      <c r="U88" s="175">
        <v>187.76217070113958</v>
      </c>
      <c r="V88" s="175">
        <v>2.0199353934450732</v>
      </c>
      <c r="W88" s="285">
        <v>169.48006460655492</v>
      </c>
      <c r="X88" s="175">
        <v>1.8020414880297153</v>
      </c>
      <c r="Y88" s="175">
        <v>151.19795851197028</v>
      </c>
      <c r="Z88" s="175">
        <v>1.6253707539091551</v>
      </c>
      <c r="AA88" s="175">
        <v>136.37462924609085</v>
      </c>
      <c r="AB88" s="175">
        <v>1.4487000197885949</v>
      </c>
      <c r="AC88" s="175">
        <v>121.55129998021141</v>
      </c>
      <c r="AD88" s="175">
        <v>1.2779183101387197</v>
      </c>
      <c r="AE88" s="175">
        <v>107.22208168986128</v>
      </c>
      <c r="AF88" s="175">
        <v>1.1071366004888448</v>
      </c>
      <c r="AG88" s="175">
        <v>92.892863399511157</v>
      </c>
      <c r="AH88" s="175">
        <v>0.94224391530965512</v>
      </c>
      <c r="AI88" s="175">
        <v>79.05775608469034</v>
      </c>
      <c r="AJ88" s="175">
        <v>0.77735123013046548</v>
      </c>
      <c r="AK88" s="175">
        <v>65.222648769869537</v>
      </c>
      <c r="AL88" s="175">
        <v>0.6536817162460733</v>
      </c>
      <c r="AM88" s="175">
        <v>54.846318283753924</v>
      </c>
      <c r="AN88" s="175">
        <v>0.53001220236168101</v>
      </c>
      <c r="AO88" s="175">
        <v>44.469987797638318</v>
      </c>
    </row>
    <row r="89" spans="1:41" x14ac:dyDescent="0.25">
      <c r="A89" s="175">
        <v>40</v>
      </c>
      <c r="B89" s="175"/>
      <c r="C89" s="175"/>
      <c r="D89" s="175">
        <v>45.810796398118399</v>
      </c>
      <c r="E89" s="175">
        <v>458.18920360188162</v>
      </c>
      <c r="F89" s="175">
        <v>40.493471816193939</v>
      </c>
      <c r="G89" s="175">
        <v>405.00652818380604</v>
      </c>
      <c r="H89" s="175">
        <v>35.176147234269479</v>
      </c>
      <c r="I89" s="175">
        <v>351.82385276573052</v>
      </c>
      <c r="J89" s="175">
        <v>30.813214243972492</v>
      </c>
      <c r="K89" s="175">
        <v>308.18678575602752</v>
      </c>
      <c r="L89" s="175">
        <v>26.450281253675502</v>
      </c>
      <c r="M89" s="175">
        <v>264.54971874632452</v>
      </c>
      <c r="N89" s="175">
        <v>21.405639983644608</v>
      </c>
      <c r="O89" s="175">
        <v>214.09436001635538</v>
      </c>
      <c r="P89" s="175">
        <v>16.360998713613711</v>
      </c>
      <c r="Q89" s="175">
        <v>163.63900128638628</v>
      </c>
      <c r="R89" s="175">
        <v>15.04302937279483</v>
      </c>
      <c r="S89" s="175">
        <v>150.45697062720518</v>
      </c>
      <c r="T89" s="175">
        <v>13.725060031975948</v>
      </c>
      <c r="U89" s="175">
        <v>137.27493996802406</v>
      </c>
      <c r="V89" s="175">
        <v>11.634487974125307</v>
      </c>
      <c r="W89" s="285">
        <v>116.36551202587469</v>
      </c>
      <c r="X89" s="175">
        <v>9.5439159162746652</v>
      </c>
      <c r="Y89" s="175">
        <v>95.456084083725329</v>
      </c>
      <c r="Z89" s="175">
        <v>8.5895243246471988</v>
      </c>
      <c r="AA89" s="175">
        <v>85.910475675352799</v>
      </c>
      <c r="AB89" s="175">
        <v>7.6351327330197325</v>
      </c>
      <c r="AC89" s="175">
        <v>76.364867266980269</v>
      </c>
      <c r="AD89" s="175">
        <v>6.6807411413922662</v>
      </c>
      <c r="AE89" s="175">
        <v>66.819258858607739</v>
      </c>
      <c r="AF89" s="175">
        <v>5.7263495497647998</v>
      </c>
      <c r="AG89" s="175">
        <v>57.273650450235202</v>
      </c>
      <c r="AH89" s="175">
        <v>4.862852395435187</v>
      </c>
      <c r="AI89" s="175">
        <v>48.637147604564817</v>
      </c>
      <c r="AJ89" s="175">
        <v>3.9993552411055742</v>
      </c>
      <c r="AK89" s="175">
        <v>40.000644758894424</v>
      </c>
      <c r="AL89" s="175">
        <v>3.2721997427227425</v>
      </c>
      <c r="AM89" s="175">
        <v>32.727800257277259</v>
      </c>
      <c r="AN89" s="175">
        <v>2.5450442443399108</v>
      </c>
      <c r="AO89" s="175">
        <v>25.454955755660087</v>
      </c>
    </row>
    <row r="90" spans="1:41" x14ac:dyDescent="0.25">
      <c r="A90" s="175">
        <v>41</v>
      </c>
      <c r="B90" s="175"/>
      <c r="C90" s="175"/>
      <c r="D90" s="175">
        <v>68.276894162264256</v>
      </c>
      <c r="E90" s="175">
        <v>336.72310583773572</v>
      </c>
      <c r="F90" s="175">
        <v>57.656043959245373</v>
      </c>
      <c r="G90" s="175">
        <v>284.34395604075462</v>
      </c>
      <c r="H90" s="175">
        <v>47.035193756226491</v>
      </c>
      <c r="I90" s="175">
        <v>231.96480624377352</v>
      </c>
      <c r="J90" s="175">
        <v>40.376089263857509</v>
      </c>
      <c r="K90" s="175">
        <v>199.12391073614251</v>
      </c>
      <c r="L90" s="175">
        <v>33.716984771488526</v>
      </c>
      <c r="M90" s="175">
        <v>166.28301522851149</v>
      </c>
      <c r="N90" s="175">
        <v>28.069389822264196</v>
      </c>
      <c r="O90" s="175">
        <v>138.43061017773582</v>
      </c>
      <c r="P90" s="175">
        <v>22.421794873039868</v>
      </c>
      <c r="Q90" s="175">
        <v>110.57820512696013</v>
      </c>
      <c r="R90" s="175">
        <v>21.15740794410905</v>
      </c>
      <c r="S90" s="175">
        <v>104.34259205589095</v>
      </c>
      <c r="T90" s="175">
        <v>19.893021015178228</v>
      </c>
      <c r="U90" s="175">
        <v>98.106978984821765</v>
      </c>
      <c r="V90" s="175">
        <v>17.785709466960196</v>
      </c>
      <c r="W90" s="285">
        <v>87.714290533039801</v>
      </c>
      <c r="X90" s="175">
        <v>15.678397918742164</v>
      </c>
      <c r="Y90" s="175">
        <v>77.321602081257836</v>
      </c>
      <c r="Z90" s="175">
        <v>13.992548680167737</v>
      </c>
      <c r="AA90" s="175">
        <v>69.007451319832256</v>
      </c>
      <c r="AB90" s="175">
        <v>12.306699441593311</v>
      </c>
      <c r="AC90" s="175">
        <v>60.69330055840669</v>
      </c>
      <c r="AD90" s="175">
        <v>10.705142664947607</v>
      </c>
      <c r="AE90" s="175">
        <v>52.794857335052392</v>
      </c>
      <c r="AF90" s="175">
        <v>9.1035858883019003</v>
      </c>
      <c r="AG90" s="175">
        <v>44.8964141116981</v>
      </c>
      <c r="AH90" s="175">
        <v>7.5020291116561966</v>
      </c>
      <c r="AI90" s="175">
        <v>36.997970888343801</v>
      </c>
      <c r="AJ90" s="175">
        <v>5.9004723350104911</v>
      </c>
      <c r="AK90" s="175">
        <v>29.099527664989509</v>
      </c>
      <c r="AL90" s="175">
        <v>4.7203778680083932</v>
      </c>
      <c r="AM90" s="175">
        <v>23.279622131991609</v>
      </c>
      <c r="AN90" s="175">
        <v>3.5402834010062949</v>
      </c>
      <c r="AO90" s="175">
        <v>17.459716598993705</v>
      </c>
    </row>
    <row r="91" spans="1:41" x14ac:dyDescent="0.25">
      <c r="A91" s="175">
        <v>42</v>
      </c>
      <c r="B91" s="175"/>
      <c r="C91" s="175"/>
      <c r="D91" s="175">
        <v>82.025908080647469</v>
      </c>
      <c r="E91" s="175">
        <v>356.97409191935253</v>
      </c>
      <c r="F91" s="175">
        <v>68.38606459571065</v>
      </c>
      <c r="G91" s="175">
        <v>297.61393540428935</v>
      </c>
      <c r="H91" s="175">
        <v>54.746221110773817</v>
      </c>
      <c r="I91" s="175">
        <v>238.25377888922617</v>
      </c>
      <c r="J91" s="175">
        <v>46.338098414579889</v>
      </c>
      <c r="K91" s="175">
        <v>201.66190158542011</v>
      </c>
      <c r="L91" s="175">
        <v>37.929975718385961</v>
      </c>
      <c r="M91" s="175">
        <v>165.07002428161405</v>
      </c>
      <c r="N91" s="175">
        <v>31.110053975917545</v>
      </c>
      <c r="O91" s="175">
        <v>135.38994602408246</v>
      </c>
      <c r="P91" s="175">
        <v>24.290132233449135</v>
      </c>
      <c r="Q91" s="175">
        <v>105.70986776655087</v>
      </c>
      <c r="R91" s="175">
        <v>22.888778450750145</v>
      </c>
      <c r="S91" s="175">
        <v>99.611221549249848</v>
      </c>
      <c r="T91" s="175">
        <v>21.487424668051158</v>
      </c>
      <c r="U91" s="175">
        <v>93.512575331948838</v>
      </c>
      <c r="V91" s="175">
        <v>19.151835030219509</v>
      </c>
      <c r="W91" s="285">
        <v>83.348164969780484</v>
      </c>
      <c r="X91" s="175">
        <v>16.816245392387863</v>
      </c>
      <c r="Y91" s="175">
        <v>73.183754607612144</v>
      </c>
      <c r="Z91" s="175">
        <v>14.947773682122545</v>
      </c>
      <c r="AA91" s="175">
        <v>65.052226317877455</v>
      </c>
      <c r="AB91" s="175">
        <v>13.079301971857227</v>
      </c>
      <c r="AC91" s="175">
        <v>56.920698028142773</v>
      </c>
      <c r="AD91" s="175">
        <v>11.304253847105175</v>
      </c>
      <c r="AE91" s="175">
        <v>49.195746152894827</v>
      </c>
      <c r="AF91" s="175">
        <v>9.5292057223531224</v>
      </c>
      <c r="AG91" s="175">
        <v>41.470794277646874</v>
      </c>
      <c r="AH91" s="175">
        <v>7.7541575976010702</v>
      </c>
      <c r="AI91" s="175">
        <v>33.745842402398928</v>
      </c>
      <c r="AJ91" s="175">
        <v>5.9791094728490179</v>
      </c>
      <c r="AK91" s="175">
        <v>26.020890527150982</v>
      </c>
      <c r="AL91" s="175">
        <v>4.6711792756632953</v>
      </c>
      <c r="AM91" s="175">
        <v>20.328820724336705</v>
      </c>
      <c r="AN91" s="175">
        <v>3.3632490784775726</v>
      </c>
      <c r="AO91" s="175">
        <v>14.636750921522427</v>
      </c>
    </row>
    <row r="92" spans="1:41" x14ac:dyDescent="0.25">
      <c r="A92" s="175">
        <v>43</v>
      </c>
      <c r="B92" s="175"/>
      <c r="C92" s="175"/>
      <c r="D92" s="175">
        <v>102.26807791905492</v>
      </c>
      <c r="E92" s="175">
        <v>368.73192208094508</v>
      </c>
      <c r="F92" s="175">
        <v>86.3090466514317</v>
      </c>
      <c r="G92" s="175">
        <v>311.19095334856831</v>
      </c>
      <c r="H92" s="175">
        <v>70.350015383808483</v>
      </c>
      <c r="I92" s="175">
        <v>253.64998461619152</v>
      </c>
      <c r="J92" s="175">
        <v>59.276401851171961</v>
      </c>
      <c r="K92" s="175">
        <v>213.72359814882805</v>
      </c>
      <c r="L92" s="175">
        <v>48.20278831853544</v>
      </c>
      <c r="M92" s="175">
        <v>173.79721168146455</v>
      </c>
      <c r="N92" s="175">
        <v>38.757647364227822</v>
      </c>
      <c r="O92" s="175">
        <v>139.74235263577219</v>
      </c>
      <c r="P92" s="175">
        <v>29.3125064099202</v>
      </c>
      <c r="Q92" s="175">
        <v>105.6874935900798</v>
      </c>
      <c r="R92" s="175">
        <v>27.46690415448078</v>
      </c>
      <c r="S92" s="175">
        <v>99.033095845519213</v>
      </c>
      <c r="T92" s="175">
        <v>25.621301899041359</v>
      </c>
      <c r="U92" s="175">
        <v>92.378698100958644</v>
      </c>
      <c r="V92" s="175">
        <v>23.124310612270381</v>
      </c>
      <c r="W92" s="285">
        <v>83.375689387729622</v>
      </c>
      <c r="X92" s="175">
        <v>20.6273193254994</v>
      </c>
      <c r="Y92" s="175">
        <v>74.3726806745006</v>
      </c>
      <c r="Z92" s="175">
        <v>18.564587392949459</v>
      </c>
      <c r="AA92" s="175">
        <v>66.935412607050537</v>
      </c>
      <c r="AB92" s="175">
        <v>16.501855460399518</v>
      </c>
      <c r="AC92" s="175">
        <v>59.498144539600482</v>
      </c>
      <c r="AD92" s="175">
        <v>14.43912352784958</v>
      </c>
      <c r="AE92" s="175">
        <v>52.060876472150419</v>
      </c>
      <c r="AF92" s="175">
        <v>12.376391595299641</v>
      </c>
      <c r="AG92" s="175">
        <v>44.623608404700363</v>
      </c>
      <c r="AH92" s="175">
        <v>10.53078933986022</v>
      </c>
      <c r="AI92" s="175">
        <v>37.96921066013978</v>
      </c>
      <c r="AJ92" s="175">
        <v>8.6851870844208001</v>
      </c>
      <c r="AK92" s="175">
        <v>31.3148129155792</v>
      </c>
      <c r="AL92" s="175">
        <v>7.0567145060919003</v>
      </c>
      <c r="AM92" s="175">
        <v>25.4432854939081</v>
      </c>
      <c r="AN92" s="175">
        <v>5.4282419277630005</v>
      </c>
      <c r="AO92" s="175">
        <v>19.571758072236999</v>
      </c>
    </row>
    <row r="93" spans="1:41" x14ac:dyDescent="0.25">
      <c r="A93" s="175">
        <v>44</v>
      </c>
      <c r="B93" s="175"/>
      <c r="C93" s="175"/>
      <c r="D93" s="175">
        <v>163.01305003638592</v>
      </c>
      <c r="E93" s="175">
        <v>283.98694996361405</v>
      </c>
      <c r="F93" s="175">
        <v>137.84996177573575</v>
      </c>
      <c r="G93" s="175">
        <v>240.15003822426425</v>
      </c>
      <c r="H93" s="175">
        <v>112.68687351508557</v>
      </c>
      <c r="I93" s="175">
        <v>196.31312648491442</v>
      </c>
      <c r="J93" s="175">
        <v>94.999775244918425</v>
      </c>
      <c r="K93" s="175">
        <v>165.50022475508158</v>
      </c>
      <c r="L93" s="175">
        <v>77.31267697475127</v>
      </c>
      <c r="M93" s="175">
        <v>134.68732302524873</v>
      </c>
      <c r="N93" s="175">
        <v>61.448990897384853</v>
      </c>
      <c r="O93" s="175">
        <v>107.05100910261515</v>
      </c>
      <c r="P93" s="175">
        <v>45.585304820018436</v>
      </c>
      <c r="Q93" s="175">
        <v>79.414695179981564</v>
      </c>
      <c r="R93" s="175">
        <v>42.48550409225718</v>
      </c>
      <c r="S93" s="175">
        <v>74.014495907742813</v>
      </c>
      <c r="T93" s="175">
        <v>39.385703364495924</v>
      </c>
      <c r="U93" s="175">
        <v>68.614296635504076</v>
      </c>
      <c r="V93" s="175">
        <v>35.009514101774158</v>
      </c>
      <c r="W93" s="285">
        <v>60.990485898225842</v>
      </c>
      <c r="X93" s="175">
        <v>30.633324839052388</v>
      </c>
      <c r="Y93" s="175">
        <v>53.366675160947608</v>
      </c>
      <c r="Z93" s="175">
        <v>27.35118289201106</v>
      </c>
      <c r="AA93" s="175">
        <v>47.64881710798894</v>
      </c>
      <c r="AB93" s="175">
        <v>24.069040944969736</v>
      </c>
      <c r="AC93" s="175">
        <v>41.930959055030264</v>
      </c>
      <c r="AD93" s="175">
        <v>20.604557778648331</v>
      </c>
      <c r="AE93" s="175">
        <v>35.895442221351665</v>
      </c>
      <c r="AF93" s="175">
        <v>17.140074612326931</v>
      </c>
      <c r="AG93" s="175">
        <v>29.859925387673069</v>
      </c>
      <c r="AH93" s="175">
        <v>14.040273884565678</v>
      </c>
      <c r="AI93" s="175">
        <v>24.459726115434322</v>
      </c>
      <c r="AJ93" s="175">
        <v>10.940473156804424</v>
      </c>
      <c r="AK93" s="175">
        <v>19.059526843195577</v>
      </c>
      <c r="AL93" s="175">
        <v>8.3876960868833912</v>
      </c>
      <c r="AM93" s="175">
        <v>14.612303913116609</v>
      </c>
      <c r="AN93" s="175">
        <v>5.8349190169623597</v>
      </c>
      <c r="AO93" s="175">
        <v>10.16508098303764</v>
      </c>
    </row>
    <row r="94" spans="1:41" x14ac:dyDescent="0.25">
      <c r="A94" s="175">
        <v>45</v>
      </c>
      <c r="B94" s="175"/>
      <c r="C94" s="175"/>
      <c r="D94" s="175">
        <v>259.21153826473949</v>
      </c>
      <c r="E94" s="175">
        <v>159.78846173526048</v>
      </c>
      <c r="F94" s="175">
        <v>210.9573616903966</v>
      </c>
      <c r="G94" s="175">
        <v>130.0426383096034</v>
      </c>
      <c r="H94" s="175">
        <v>162.70318511605367</v>
      </c>
      <c r="I94" s="175">
        <v>100.29681488394631</v>
      </c>
      <c r="J94" s="175">
        <v>136.10152367122362</v>
      </c>
      <c r="K94" s="175">
        <v>83.898476328776383</v>
      </c>
      <c r="L94" s="175">
        <v>109.49986222639353</v>
      </c>
      <c r="M94" s="175">
        <v>67.500137773606454</v>
      </c>
      <c r="N94" s="175">
        <v>90.631241899246632</v>
      </c>
      <c r="O94" s="175">
        <v>55.868758100753368</v>
      </c>
      <c r="P94" s="175">
        <v>71.762621572099718</v>
      </c>
      <c r="Q94" s="175">
        <v>44.237378427900275</v>
      </c>
      <c r="R94" s="175">
        <v>68.050761835611809</v>
      </c>
      <c r="S94" s="175">
        <v>41.949238164388191</v>
      </c>
      <c r="T94" s="175">
        <v>64.338902099123885</v>
      </c>
      <c r="U94" s="175">
        <v>39.661097900876108</v>
      </c>
      <c r="V94" s="175">
        <v>57.533825915562701</v>
      </c>
      <c r="W94" s="285">
        <v>35.466174084437291</v>
      </c>
      <c r="X94" s="175">
        <v>50.728749732001525</v>
      </c>
      <c r="Y94" s="175">
        <v>31.271250267998472</v>
      </c>
      <c r="Z94" s="175">
        <v>45.470281771976978</v>
      </c>
      <c r="AA94" s="175">
        <v>28.029718228023018</v>
      </c>
      <c r="AB94" s="175">
        <v>40.211813811952425</v>
      </c>
      <c r="AC94" s="175">
        <v>24.788186188047568</v>
      </c>
      <c r="AD94" s="175">
        <v>34.953345851927878</v>
      </c>
      <c r="AE94" s="175">
        <v>21.546654148072118</v>
      </c>
      <c r="AF94" s="175">
        <v>29.694877891903332</v>
      </c>
      <c r="AG94" s="175">
        <v>18.305122108096665</v>
      </c>
      <c r="AH94" s="175">
        <v>24.74573157658611</v>
      </c>
      <c r="AI94" s="175">
        <v>15.254268423413889</v>
      </c>
      <c r="AJ94" s="175">
        <v>19.796585261268888</v>
      </c>
      <c r="AK94" s="175">
        <v>12.20341473873111</v>
      </c>
      <c r="AL94" s="175">
        <v>16.084725524780971</v>
      </c>
      <c r="AM94" s="175">
        <v>9.9152744752190269</v>
      </c>
      <c r="AN94" s="175">
        <v>12.372865788293055</v>
      </c>
      <c r="AO94" s="175">
        <v>7.6271342117069443</v>
      </c>
    </row>
    <row r="95" spans="1:41" x14ac:dyDescent="0.25">
      <c r="A95" s="175">
        <v>46</v>
      </c>
      <c r="B95" s="175"/>
      <c r="C95" s="175"/>
      <c r="D95" s="175">
        <v>282.35573626960502</v>
      </c>
      <c r="E95" s="175">
        <v>228.64426373039495</v>
      </c>
      <c r="F95" s="175">
        <v>222.67976852573545</v>
      </c>
      <c r="G95" s="175">
        <v>180.32023147426452</v>
      </c>
      <c r="H95" s="175">
        <v>163.00380078186589</v>
      </c>
      <c r="I95" s="175">
        <v>131.99619921813408</v>
      </c>
      <c r="J95" s="175">
        <v>133.16581690993112</v>
      </c>
      <c r="K95" s="175">
        <v>107.83418309006886</v>
      </c>
      <c r="L95" s="175">
        <v>103.32783303799636</v>
      </c>
      <c r="M95" s="175">
        <v>83.672166962003629</v>
      </c>
      <c r="N95" s="175">
        <v>86.198620074478242</v>
      </c>
      <c r="O95" s="175">
        <v>69.801379925521744</v>
      </c>
      <c r="P95" s="175">
        <v>69.069407110960128</v>
      </c>
      <c r="Q95" s="175">
        <v>55.930592889039865</v>
      </c>
      <c r="R95" s="175">
        <v>66.306630826521726</v>
      </c>
      <c r="S95" s="175">
        <v>53.693369173478267</v>
      </c>
      <c r="T95" s="175">
        <v>63.543854542083317</v>
      </c>
      <c r="U95" s="175">
        <v>51.456145457916676</v>
      </c>
      <c r="V95" s="175">
        <v>57.742024344762669</v>
      </c>
      <c r="W95" s="285">
        <v>46.757975655237324</v>
      </c>
      <c r="X95" s="175">
        <v>51.940194147442014</v>
      </c>
      <c r="Y95" s="175">
        <v>42.059805852557979</v>
      </c>
      <c r="Z95" s="175">
        <v>46.690919207009046</v>
      </c>
      <c r="AA95" s="175">
        <v>37.809080792990947</v>
      </c>
      <c r="AB95" s="175">
        <v>41.441644266576077</v>
      </c>
      <c r="AC95" s="175">
        <v>33.558355733423916</v>
      </c>
      <c r="AD95" s="175">
        <v>35.916091697699265</v>
      </c>
      <c r="AE95" s="175">
        <v>29.083908302300728</v>
      </c>
      <c r="AF95" s="175">
        <v>30.390539128822457</v>
      </c>
      <c r="AG95" s="175">
        <v>24.609460871177539</v>
      </c>
      <c r="AH95" s="175">
        <v>25.141264188389489</v>
      </c>
      <c r="AI95" s="175">
        <v>20.358735811610511</v>
      </c>
      <c r="AJ95" s="175">
        <v>19.891989247956516</v>
      </c>
      <c r="AK95" s="175">
        <v>16.10801075204348</v>
      </c>
      <c r="AL95" s="175">
        <v>15.747824821298909</v>
      </c>
      <c r="AM95" s="175">
        <v>12.752175178701089</v>
      </c>
      <c r="AN95" s="175">
        <v>11.603660394641302</v>
      </c>
      <c r="AO95" s="175">
        <v>9.3963396053586976</v>
      </c>
    </row>
    <row r="96" spans="1:41" x14ac:dyDescent="0.25">
      <c r="A96" s="175">
        <v>47</v>
      </c>
      <c r="B96" s="175"/>
      <c r="C96" s="175"/>
      <c r="D96" s="175">
        <v>278.59230273752013</v>
      </c>
      <c r="E96" s="175">
        <v>202.40769726247987</v>
      </c>
      <c r="F96" s="175">
        <v>227.91282978630804</v>
      </c>
      <c r="G96" s="175">
        <v>165.58717021369196</v>
      </c>
      <c r="H96" s="175">
        <v>177.23335683509598</v>
      </c>
      <c r="I96" s="175">
        <v>128.76664316490402</v>
      </c>
      <c r="J96" s="175">
        <v>147.98406101753929</v>
      </c>
      <c r="K96" s="175">
        <v>107.51593898246072</v>
      </c>
      <c r="L96" s="175">
        <v>118.73476519998259</v>
      </c>
      <c r="M96" s="175">
        <v>86.26523480001741</v>
      </c>
      <c r="N96" s="175">
        <v>98.173379031205116</v>
      </c>
      <c r="O96" s="175">
        <v>71.326620968794884</v>
      </c>
      <c r="P96" s="175">
        <v>77.611992862427641</v>
      </c>
      <c r="Q96" s="175">
        <v>56.388007137572352</v>
      </c>
      <c r="R96" s="175">
        <v>73.557635026330672</v>
      </c>
      <c r="S96" s="175">
        <v>53.442364973669321</v>
      </c>
      <c r="T96" s="175">
        <v>69.503277190233717</v>
      </c>
      <c r="U96" s="175">
        <v>50.49672280976629</v>
      </c>
      <c r="V96" s="175">
        <v>62.55294947121034</v>
      </c>
      <c r="W96" s="285">
        <v>45.44705052878966</v>
      </c>
      <c r="X96" s="175">
        <v>55.60262175218697</v>
      </c>
      <c r="Y96" s="175">
        <v>40.39737824781303</v>
      </c>
      <c r="Z96" s="175">
        <v>49.521084998041523</v>
      </c>
      <c r="AA96" s="175">
        <v>35.978915001958477</v>
      </c>
      <c r="AB96" s="175">
        <v>43.43954824389607</v>
      </c>
      <c r="AC96" s="175">
        <v>31.56045175610393</v>
      </c>
      <c r="AD96" s="175">
        <v>37.358011489750623</v>
      </c>
      <c r="AE96" s="175">
        <v>27.14198851024938</v>
      </c>
      <c r="AF96" s="175">
        <v>31.27647473560517</v>
      </c>
      <c r="AG96" s="175">
        <v>22.72352526439483</v>
      </c>
      <c r="AH96" s="175">
        <v>24.90534099316708</v>
      </c>
      <c r="AI96" s="175">
        <v>18.09465900683292</v>
      </c>
      <c r="AJ96" s="175">
        <v>18.53420725072899</v>
      </c>
      <c r="AK96" s="175">
        <v>13.46579274927101</v>
      </c>
      <c r="AL96" s="175">
        <v>14.190252426339383</v>
      </c>
      <c r="AM96" s="175">
        <v>10.309747573660617</v>
      </c>
      <c r="AN96" s="175">
        <v>9.8462976019497752</v>
      </c>
      <c r="AO96" s="175">
        <v>7.1537023980502239</v>
      </c>
    </row>
    <row r="97" spans="1:41" x14ac:dyDescent="0.25">
      <c r="A97" s="175">
        <v>48</v>
      </c>
      <c r="B97" s="175"/>
      <c r="C97" s="175"/>
      <c r="D97" s="175">
        <v>321.31865551406895</v>
      </c>
      <c r="E97" s="175">
        <v>198.68134448593108</v>
      </c>
      <c r="F97" s="175">
        <v>268.79541374734612</v>
      </c>
      <c r="G97" s="175">
        <v>166.20458625265388</v>
      </c>
      <c r="H97" s="175">
        <v>216.27217198062331</v>
      </c>
      <c r="I97" s="175">
        <v>133.72782801937669</v>
      </c>
      <c r="J97" s="175">
        <v>183.21342569215662</v>
      </c>
      <c r="K97" s="175">
        <v>113.2865743078434</v>
      </c>
      <c r="L97" s="175">
        <v>150.1546794036899</v>
      </c>
      <c r="M97" s="175">
        <v>92.845320596310103</v>
      </c>
      <c r="N97" s="175">
        <v>122.34825729189548</v>
      </c>
      <c r="O97" s="175">
        <v>75.651742708104521</v>
      </c>
      <c r="P97" s="175">
        <v>94.541835180101046</v>
      </c>
      <c r="Q97" s="175">
        <v>58.458164819898947</v>
      </c>
      <c r="R97" s="175">
        <v>88.671590512055559</v>
      </c>
      <c r="S97" s="175">
        <v>54.828409487944441</v>
      </c>
      <c r="T97" s="175">
        <v>82.801345844010072</v>
      </c>
      <c r="U97" s="175">
        <v>51.198654155989928</v>
      </c>
      <c r="V97" s="175">
        <v>73.532538473411933</v>
      </c>
      <c r="W97" s="285">
        <v>45.467461526588075</v>
      </c>
      <c r="X97" s="175">
        <v>64.263731102813779</v>
      </c>
      <c r="Y97" s="175">
        <v>39.736268897186214</v>
      </c>
      <c r="Z97" s="175">
        <v>56.53972496064867</v>
      </c>
      <c r="AA97" s="175">
        <v>34.96027503935133</v>
      </c>
      <c r="AB97" s="175">
        <v>48.815718818483546</v>
      </c>
      <c r="AC97" s="175">
        <v>30.18428118151645</v>
      </c>
      <c r="AD97" s="175">
        <v>41.400672922005036</v>
      </c>
      <c r="AE97" s="175">
        <v>25.599327077994964</v>
      </c>
      <c r="AF97" s="175">
        <v>33.985627025526519</v>
      </c>
      <c r="AG97" s="175">
        <v>21.014372974473478</v>
      </c>
      <c r="AH97" s="175">
        <v>26.879541374734611</v>
      </c>
      <c r="AI97" s="175">
        <v>16.620458625265389</v>
      </c>
      <c r="AJ97" s="175">
        <v>19.773455723942703</v>
      </c>
      <c r="AK97" s="175">
        <v>12.226544276057297</v>
      </c>
      <c r="AL97" s="175">
        <v>14.212171301583819</v>
      </c>
      <c r="AM97" s="175">
        <v>8.7878286984161811</v>
      </c>
      <c r="AN97" s="175">
        <v>8.6508868792249327</v>
      </c>
      <c r="AO97" s="175">
        <v>5.3491131207750673</v>
      </c>
    </row>
    <row r="98" spans="1:41" x14ac:dyDescent="0.25">
      <c r="A98" s="175">
        <v>49</v>
      </c>
      <c r="B98" s="175"/>
      <c r="C98" s="175"/>
      <c r="D98" s="175">
        <v>403.88731315461069</v>
      </c>
      <c r="E98" s="175">
        <v>118.11268684538931</v>
      </c>
      <c r="F98" s="175">
        <v>349.3393139641891</v>
      </c>
      <c r="G98" s="175">
        <v>102.16068603581085</v>
      </c>
      <c r="H98" s="175">
        <v>294.79131477376757</v>
      </c>
      <c r="I98" s="175">
        <v>86.208685226232419</v>
      </c>
      <c r="J98" s="175">
        <v>254.17046431281534</v>
      </c>
      <c r="K98" s="175">
        <v>74.329535687184645</v>
      </c>
      <c r="L98" s="175">
        <v>213.54961385186311</v>
      </c>
      <c r="M98" s="175">
        <v>62.450386148136872</v>
      </c>
      <c r="N98" s="175">
        <v>172.92876339091089</v>
      </c>
      <c r="O98" s="175">
        <v>50.571236609089098</v>
      </c>
      <c r="P98" s="175">
        <v>132.30791292995866</v>
      </c>
      <c r="Q98" s="175">
        <v>38.692087070041325</v>
      </c>
      <c r="R98" s="175">
        <v>123.02314711031245</v>
      </c>
      <c r="S98" s="175">
        <v>35.976852889687549</v>
      </c>
      <c r="T98" s="175">
        <v>113.73838129066623</v>
      </c>
      <c r="U98" s="175">
        <v>33.261618709333767</v>
      </c>
      <c r="V98" s="175">
        <v>99.811232561196888</v>
      </c>
      <c r="W98" s="285">
        <v>29.188767438803104</v>
      </c>
      <c r="X98" s="175">
        <v>85.884083831727565</v>
      </c>
      <c r="Y98" s="175">
        <v>25.115916168272438</v>
      </c>
      <c r="Z98" s="175">
        <v>75.825587527110812</v>
      </c>
      <c r="AA98" s="175">
        <v>22.17441247288918</v>
      </c>
      <c r="AB98" s="175">
        <v>65.767091222494074</v>
      </c>
      <c r="AC98" s="175">
        <v>19.232908777505919</v>
      </c>
      <c r="AD98" s="175">
        <v>55.708594917877335</v>
      </c>
      <c r="AE98" s="175">
        <v>16.291405082122662</v>
      </c>
      <c r="AF98" s="175">
        <v>45.650098613260596</v>
      </c>
      <c r="AG98" s="175">
        <v>13.349901386739404</v>
      </c>
      <c r="AH98" s="175">
        <v>35.978467551129114</v>
      </c>
      <c r="AI98" s="175">
        <v>10.521532448870886</v>
      </c>
      <c r="AJ98" s="175">
        <v>26.306836488997632</v>
      </c>
      <c r="AK98" s="175">
        <v>7.6931635110023686</v>
      </c>
      <c r="AL98" s="175">
        <v>18.569531639292446</v>
      </c>
      <c r="AM98" s="175">
        <v>5.4304683607075539</v>
      </c>
      <c r="AN98" s="175">
        <v>10.83222678958726</v>
      </c>
      <c r="AO98" s="175">
        <v>3.1677732104127401</v>
      </c>
    </row>
    <row r="99" spans="1:41" x14ac:dyDescent="0.25">
      <c r="A99" s="175">
        <v>50</v>
      </c>
      <c r="B99" s="175"/>
      <c r="C99" s="175"/>
      <c r="D99" s="175">
        <v>221.10586077971044</v>
      </c>
      <c r="E99" s="175">
        <v>203.89413922028953</v>
      </c>
      <c r="F99" s="175">
        <v>185.98904759705056</v>
      </c>
      <c r="G99" s="175">
        <v>171.51095240294941</v>
      </c>
      <c r="H99" s="175">
        <v>150.87223441439065</v>
      </c>
      <c r="I99" s="175">
        <v>139.12776558560932</v>
      </c>
      <c r="J99" s="175">
        <v>126.94077654176317</v>
      </c>
      <c r="K99" s="175">
        <v>117.05922345823681</v>
      </c>
      <c r="L99" s="175">
        <v>103.00931866913569</v>
      </c>
      <c r="M99" s="175">
        <v>94.990681330864291</v>
      </c>
      <c r="N99" s="175">
        <v>81.939230759539754</v>
      </c>
      <c r="O99" s="175">
        <v>75.560769240460232</v>
      </c>
      <c r="P99" s="175">
        <v>60.86914284994382</v>
      </c>
      <c r="Q99" s="175">
        <v>56.130857150056173</v>
      </c>
      <c r="R99" s="175">
        <v>56.447025634349608</v>
      </c>
      <c r="S99" s="175">
        <v>52.052974365650385</v>
      </c>
      <c r="T99" s="175">
        <v>52.024908418755402</v>
      </c>
      <c r="U99" s="175">
        <v>47.975091581244591</v>
      </c>
      <c r="V99" s="175">
        <v>45.781919408504749</v>
      </c>
      <c r="W99" s="285">
        <v>42.218080591495244</v>
      </c>
      <c r="X99" s="175">
        <v>39.538930398254102</v>
      </c>
      <c r="Y99" s="175">
        <v>36.461069601745891</v>
      </c>
      <c r="Z99" s="175">
        <v>35.376937724753674</v>
      </c>
      <c r="AA99" s="175">
        <v>32.623062275246326</v>
      </c>
      <c r="AB99" s="175">
        <v>31.214945051253238</v>
      </c>
      <c r="AC99" s="175">
        <v>28.785054948746758</v>
      </c>
      <c r="AD99" s="175">
        <v>26.792827835659033</v>
      </c>
      <c r="AE99" s="175">
        <v>24.707172164340967</v>
      </c>
      <c r="AF99" s="175">
        <v>22.370710620064823</v>
      </c>
      <c r="AG99" s="175">
        <v>20.629289379935177</v>
      </c>
      <c r="AH99" s="175">
        <v>18.208717946564391</v>
      </c>
      <c r="AI99" s="175">
        <v>16.791282053435609</v>
      </c>
      <c r="AJ99" s="175">
        <v>14.046725273063958</v>
      </c>
      <c r="AK99" s="175">
        <v>12.953274726936041</v>
      </c>
      <c r="AL99" s="175">
        <v>10.665106225844857</v>
      </c>
      <c r="AM99" s="175">
        <v>9.834893774155141</v>
      </c>
      <c r="AN99" s="175">
        <v>7.283487178625756</v>
      </c>
      <c r="AO99" s="175">
        <v>6.7165128213742431</v>
      </c>
    </row>
    <row r="100" spans="1:41" x14ac:dyDescent="0.25">
      <c r="A100" s="175">
        <v>51</v>
      </c>
      <c r="B100" s="175"/>
      <c r="C100" s="175"/>
      <c r="D100" s="175">
        <v>238.26344688882705</v>
      </c>
      <c r="E100" s="175">
        <v>221.73655311117298</v>
      </c>
      <c r="F100" s="175">
        <v>202.26494784801514</v>
      </c>
      <c r="G100" s="175">
        <v>188.23505215198489</v>
      </c>
      <c r="H100" s="175">
        <v>166.26644880720323</v>
      </c>
      <c r="I100" s="175">
        <v>154.7335511927968</v>
      </c>
      <c r="J100" s="175">
        <v>140.36824805841766</v>
      </c>
      <c r="K100" s="175">
        <v>130.63175194158234</v>
      </c>
      <c r="L100" s="175">
        <v>114.47004730963212</v>
      </c>
      <c r="M100" s="175">
        <v>106.52995269036788</v>
      </c>
      <c r="N100" s="175">
        <v>90.902684628237282</v>
      </c>
      <c r="O100" s="175">
        <v>84.597315371762733</v>
      </c>
      <c r="P100" s="175">
        <v>67.335321946842427</v>
      </c>
      <c r="Q100" s="175">
        <v>62.66467805315758</v>
      </c>
      <c r="R100" s="175">
        <v>62.414663804573173</v>
      </c>
      <c r="S100" s="175">
        <v>58.085336195426834</v>
      </c>
      <c r="T100" s="175">
        <v>57.49400566230392</v>
      </c>
      <c r="U100" s="175">
        <v>53.505994337696087</v>
      </c>
      <c r="V100" s="175">
        <v>50.501491460131824</v>
      </c>
      <c r="W100" s="285">
        <v>46.998508539868183</v>
      </c>
      <c r="X100" s="175">
        <v>43.508977257959721</v>
      </c>
      <c r="Y100" s="175">
        <v>40.491022742040279</v>
      </c>
      <c r="Z100" s="175">
        <v>38.588319115690467</v>
      </c>
      <c r="AA100" s="175">
        <v>35.911680884309533</v>
      </c>
      <c r="AB100" s="175">
        <v>33.667660973421214</v>
      </c>
      <c r="AC100" s="175">
        <v>31.33233902657879</v>
      </c>
      <c r="AD100" s="175">
        <v>28.74700283115196</v>
      </c>
      <c r="AE100" s="175">
        <v>26.752997168848044</v>
      </c>
      <c r="AF100" s="175">
        <v>23.826344688882706</v>
      </c>
      <c r="AG100" s="175">
        <v>22.173655311117297</v>
      </c>
      <c r="AH100" s="175">
        <v>18.646704539125594</v>
      </c>
      <c r="AI100" s="175">
        <v>17.353295460874406</v>
      </c>
      <c r="AJ100" s="175">
        <v>13.467064389368485</v>
      </c>
      <c r="AK100" s="175">
        <v>12.532935610631515</v>
      </c>
      <c r="AL100" s="175">
        <v>9.8413162845385092</v>
      </c>
      <c r="AM100" s="175">
        <v>9.1586837154614926</v>
      </c>
      <c r="AN100" s="175">
        <v>6.2155681797085318</v>
      </c>
      <c r="AO100" s="175">
        <v>5.7844318202914691</v>
      </c>
    </row>
    <row r="101" spans="1:41" x14ac:dyDescent="0.25">
      <c r="A101" s="175">
        <v>52</v>
      </c>
      <c r="B101" s="175"/>
      <c r="C101" s="175"/>
      <c r="D101" s="175">
        <v>76.181983811626196</v>
      </c>
      <c r="E101" s="175">
        <v>196.8180161883738</v>
      </c>
      <c r="F101" s="175">
        <v>63.205931623931633</v>
      </c>
      <c r="G101" s="175">
        <v>163.29406837606837</v>
      </c>
      <c r="H101" s="175">
        <v>50.229879436237056</v>
      </c>
      <c r="I101" s="175">
        <v>129.77012056376293</v>
      </c>
      <c r="J101" s="175">
        <v>42.137287749287751</v>
      </c>
      <c r="K101" s="175">
        <v>108.86271225071225</v>
      </c>
      <c r="L101" s="175">
        <v>34.044696062338453</v>
      </c>
      <c r="M101" s="175">
        <v>87.955303937661554</v>
      </c>
      <c r="N101" s="175">
        <v>27.765961132808819</v>
      </c>
      <c r="O101" s="175">
        <v>71.734038867191188</v>
      </c>
      <c r="P101" s="175">
        <v>21.487226203279185</v>
      </c>
      <c r="Q101" s="175">
        <v>55.512773796720815</v>
      </c>
      <c r="R101" s="175">
        <v>20.231479217373259</v>
      </c>
      <c r="S101" s="175">
        <v>52.268520782626744</v>
      </c>
      <c r="T101" s="175">
        <v>18.975732231467333</v>
      </c>
      <c r="U101" s="175">
        <v>49.024267768532667</v>
      </c>
      <c r="V101" s="175">
        <v>17.161875474047662</v>
      </c>
      <c r="W101" s="285">
        <v>44.338124525952338</v>
      </c>
      <c r="X101" s="175">
        <v>15.34801871662799</v>
      </c>
      <c r="Y101" s="175">
        <v>39.65198128337201</v>
      </c>
      <c r="Z101" s="175">
        <v>13.673689402086755</v>
      </c>
      <c r="AA101" s="175">
        <v>35.326310597913249</v>
      </c>
      <c r="AB101" s="175">
        <v>11.999360087545519</v>
      </c>
      <c r="AC101" s="175">
        <v>31.000639912454481</v>
      </c>
      <c r="AD101" s="175">
        <v>10.46455821588272</v>
      </c>
      <c r="AE101" s="175">
        <v>27.035441784117278</v>
      </c>
      <c r="AF101" s="175">
        <v>8.9297563442199213</v>
      </c>
      <c r="AG101" s="175">
        <v>23.070243655780079</v>
      </c>
      <c r="AH101" s="175">
        <v>7.3949544725571226</v>
      </c>
      <c r="AI101" s="175">
        <v>19.105045527442879</v>
      </c>
      <c r="AJ101" s="175">
        <v>5.860152600894323</v>
      </c>
      <c r="AK101" s="175">
        <v>15.139847399105676</v>
      </c>
      <c r="AL101" s="175">
        <v>4.4648781721099606</v>
      </c>
      <c r="AM101" s="175">
        <v>11.535121827890039</v>
      </c>
      <c r="AN101" s="175">
        <v>3.0696037433255978</v>
      </c>
      <c r="AO101" s="175">
        <v>7.9303962566744017</v>
      </c>
    </row>
    <row r="102" spans="1:41" x14ac:dyDescent="0.25">
      <c r="A102" s="175">
        <v>53</v>
      </c>
      <c r="B102" s="175"/>
      <c r="C102" s="175"/>
      <c r="D102" s="175">
        <v>206.90048291684784</v>
      </c>
      <c r="E102" s="175">
        <v>189.09951708315216</v>
      </c>
      <c r="F102" s="175">
        <v>170.32716522952623</v>
      </c>
      <c r="G102" s="175">
        <v>155.67283477047374</v>
      </c>
      <c r="H102" s="175">
        <v>133.75384754220465</v>
      </c>
      <c r="I102" s="175">
        <v>122.24615245779533</v>
      </c>
      <c r="J102" s="175">
        <v>112.07109491329257</v>
      </c>
      <c r="K102" s="175">
        <v>102.42890508670742</v>
      </c>
      <c r="L102" s="175">
        <v>90.388342284380485</v>
      </c>
      <c r="M102" s="175">
        <v>82.611657715619501</v>
      </c>
      <c r="N102" s="175">
        <v>74.191587308566639</v>
      </c>
      <c r="O102" s="175">
        <v>67.808412691433347</v>
      </c>
      <c r="P102" s="175">
        <v>57.9948323327528</v>
      </c>
      <c r="Q102" s="175">
        <v>53.005167667247193</v>
      </c>
      <c r="R102" s="175">
        <v>54.859976530982379</v>
      </c>
      <c r="S102" s="175">
        <v>50.140023469017613</v>
      </c>
      <c r="T102" s="175">
        <v>51.725120729211959</v>
      </c>
      <c r="U102" s="175">
        <v>47.274879270788041</v>
      </c>
      <c r="V102" s="175">
        <v>45.977885092632846</v>
      </c>
      <c r="W102" s="285">
        <v>42.022114907367147</v>
      </c>
      <c r="X102" s="175">
        <v>40.23064945605374</v>
      </c>
      <c r="Y102" s="175">
        <v>36.769350543946253</v>
      </c>
      <c r="Z102" s="175">
        <v>35.528365753398113</v>
      </c>
      <c r="AA102" s="175">
        <v>32.471634246601887</v>
      </c>
      <c r="AB102" s="175">
        <v>30.826082050742478</v>
      </c>
      <c r="AC102" s="175">
        <v>28.173917949257518</v>
      </c>
      <c r="AD102" s="175">
        <v>25.862560364605979</v>
      </c>
      <c r="AE102" s="175">
        <v>23.637439635394021</v>
      </c>
      <c r="AF102" s="175">
        <v>20.899038678469477</v>
      </c>
      <c r="AG102" s="175">
        <v>19.100961321530519</v>
      </c>
      <c r="AH102" s="175">
        <v>16.196754975813846</v>
      </c>
      <c r="AI102" s="175">
        <v>14.803245024186154</v>
      </c>
      <c r="AJ102" s="175">
        <v>11.494471273158211</v>
      </c>
      <c r="AK102" s="175">
        <v>10.505528726841787</v>
      </c>
      <c r="AL102" s="175">
        <v>7.8371395044260534</v>
      </c>
      <c r="AM102" s="175">
        <v>7.1628604955739457</v>
      </c>
      <c r="AN102" s="175">
        <v>4.1798077356938954</v>
      </c>
      <c r="AO102" s="175">
        <v>3.8201922643061041</v>
      </c>
    </row>
    <row r="103" spans="1:41" x14ac:dyDescent="0.25">
      <c r="A103" s="175">
        <v>54</v>
      </c>
      <c r="B103" s="175"/>
      <c r="C103" s="175"/>
      <c r="D103" s="175">
        <v>80.167025860064072</v>
      </c>
      <c r="E103" s="175">
        <v>167.83297413993591</v>
      </c>
      <c r="F103" s="175">
        <v>64.489200238237032</v>
      </c>
      <c r="G103" s="175">
        <v>135.01079976176297</v>
      </c>
      <c r="H103" s="175">
        <v>48.811374616409985</v>
      </c>
      <c r="I103" s="175">
        <v>102.18862538359002</v>
      </c>
      <c r="J103" s="175">
        <v>40.406767066564555</v>
      </c>
      <c r="K103" s="175">
        <v>84.593232933435445</v>
      </c>
      <c r="L103" s="175">
        <v>32.002159516719125</v>
      </c>
      <c r="M103" s="175">
        <v>66.997840483280868</v>
      </c>
      <c r="N103" s="175">
        <v>26.830093332198864</v>
      </c>
      <c r="O103" s="175">
        <v>56.169906667801136</v>
      </c>
      <c r="P103" s="175">
        <v>21.658027147678602</v>
      </c>
      <c r="Q103" s="175">
        <v>45.341972852321398</v>
      </c>
      <c r="R103" s="175">
        <v>20.688264738081052</v>
      </c>
      <c r="S103" s="175">
        <v>43.311735261918948</v>
      </c>
      <c r="T103" s="175">
        <v>19.718502328483503</v>
      </c>
      <c r="U103" s="175">
        <v>41.281497671516497</v>
      </c>
      <c r="V103" s="175">
        <v>17.940604577554662</v>
      </c>
      <c r="W103" s="285">
        <v>37.559395422445334</v>
      </c>
      <c r="X103" s="175">
        <v>16.162706826625822</v>
      </c>
      <c r="Y103" s="175">
        <v>33.837293173374178</v>
      </c>
      <c r="Z103" s="175">
        <v>14.384809075696982</v>
      </c>
      <c r="AA103" s="175">
        <v>30.115190924303018</v>
      </c>
      <c r="AB103" s="175">
        <v>12.606911324768141</v>
      </c>
      <c r="AC103" s="175">
        <v>26.393088675231859</v>
      </c>
      <c r="AD103" s="175">
        <v>10.829013573839301</v>
      </c>
      <c r="AE103" s="175">
        <v>22.670986426160699</v>
      </c>
      <c r="AF103" s="175">
        <v>9.0511158229104609</v>
      </c>
      <c r="AG103" s="175">
        <v>18.948884177089539</v>
      </c>
      <c r="AH103" s="175">
        <v>7.111591003715362</v>
      </c>
      <c r="AI103" s="175">
        <v>14.888408996284639</v>
      </c>
      <c r="AJ103" s="175">
        <v>5.1720661845202631</v>
      </c>
      <c r="AK103" s="175">
        <v>10.827933815479737</v>
      </c>
      <c r="AL103" s="175">
        <v>3.8790496383901973</v>
      </c>
      <c r="AM103" s="175">
        <v>8.1209503616098022</v>
      </c>
      <c r="AN103" s="175">
        <v>2.5860330922601316</v>
      </c>
      <c r="AO103" s="175">
        <v>5.4139669077398684</v>
      </c>
    </row>
    <row r="104" spans="1:41" x14ac:dyDescent="0.25">
      <c r="A104" s="175">
        <v>55</v>
      </c>
      <c r="B104" s="175"/>
      <c r="C104" s="175"/>
      <c r="D104" s="175">
        <v>233.19029983962363</v>
      </c>
      <c r="E104" s="175">
        <v>88.809700160376352</v>
      </c>
      <c r="F104" s="175">
        <v>187.92820747944825</v>
      </c>
      <c r="G104" s="175">
        <v>71.571792520551753</v>
      </c>
      <c r="H104" s="175">
        <v>142.66611511927283</v>
      </c>
      <c r="I104" s="175">
        <v>54.333884880727148</v>
      </c>
      <c r="J104" s="175">
        <v>117.68144013645602</v>
      </c>
      <c r="K104" s="175">
        <v>44.818559863543967</v>
      </c>
      <c r="L104" s="175">
        <v>92.696765153639205</v>
      </c>
      <c r="M104" s="175">
        <v>35.303234846360787</v>
      </c>
      <c r="N104" s="175">
        <v>75.316121687331858</v>
      </c>
      <c r="O104" s="175">
        <v>28.683878312668138</v>
      </c>
      <c r="P104" s="175">
        <v>57.935478221024503</v>
      </c>
      <c r="Q104" s="175">
        <v>22.064521778975493</v>
      </c>
      <c r="R104" s="175">
        <v>54.676607571091878</v>
      </c>
      <c r="S104" s="175">
        <v>20.823392428908122</v>
      </c>
      <c r="T104" s="175">
        <v>51.417736921159246</v>
      </c>
      <c r="U104" s="175">
        <v>19.58226307884075</v>
      </c>
      <c r="V104" s="175">
        <v>45.6241890990568</v>
      </c>
      <c r="W104" s="285">
        <v>17.3758109009432</v>
      </c>
      <c r="X104" s="175">
        <v>39.830641276954346</v>
      </c>
      <c r="Y104" s="175">
        <v>15.169358723045651</v>
      </c>
      <c r="Z104" s="175">
        <v>35.123383671496107</v>
      </c>
      <c r="AA104" s="175">
        <v>13.376616328503893</v>
      </c>
      <c r="AB104" s="175">
        <v>30.416126066037865</v>
      </c>
      <c r="AC104" s="175">
        <v>11.583873933962133</v>
      </c>
      <c r="AD104" s="175">
        <v>25.346771721698222</v>
      </c>
      <c r="AE104" s="175">
        <v>9.6532282783017784</v>
      </c>
      <c r="AF104" s="175">
        <v>20.277417377358574</v>
      </c>
      <c r="AG104" s="175">
        <v>7.722582622641422</v>
      </c>
      <c r="AH104" s="175">
        <v>15.570159771900336</v>
      </c>
      <c r="AI104" s="175">
        <v>5.9298402280996632</v>
      </c>
      <c r="AJ104" s="175">
        <v>10.862902166442094</v>
      </c>
      <c r="AK104" s="175">
        <v>4.1370978335579052</v>
      </c>
      <c r="AL104" s="175">
        <v>6.8798380387466596</v>
      </c>
      <c r="AM104" s="175">
        <v>2.6201619612533396</v>
      </c>
      <c r="AN104" s="175">
        <v>2.8967739110512252</v>
      </c>
      <c r="AO104" s="175">
        <v>1.1032260889487746</v>
      </c>
    </row>
    <row r="105" spans="1:41" x14ac:dyDescent="0.25">
      <c r="A105" s="175">
        <v>56</v>
      </c>
      <c r="B105" s="175"/>
      <c r="C105" s="175"/>
      <c r="D105" s="175">
        <v>109.65123373224311</v>
      </c>
      <c r="E105" s="175">
        <v>108.3487662677569</v>
      </c>
      <c r="F105" s="175">
        <v>85.004855508023326</v>
      </c>
      <c r="G105" s="175">
        <v>83.995144491976674</v>
      </c>
      <c r="H105" s="175">
        <v>60.358477283803545</v>
      </c>
      <c r="I105" s="175">
        <v>59.641522716196462</v>
      </c>
      <c r="J105" s="175">
        <v>50.298731069836286</v>
      </c>
      <c r="K105" s="175">
        <v>49.701268930163714</v>
      </c>
      <c r="L105" s="175">
        <v>40.238984855869035</v>
      </c>
      <c r="M105" s="175">
        <v>39.761015144130972</v>
      </c>
      <c r="N105" s="175">
        <v>34.45463078283786</v>
      </c>
      <c r="O105" s="175">
        <v>34.045369217162147</v>
      </c>
      <c r="P105" s="175">
        <v>28.670276709806686</v>
      </c>
      <c r="Q105" s="175">
        <v>28.329723290193318</v>
      </c>
      <c r="R105" s="175">
        <v>27.161314777711596</v>
      </c>
      <c r="S105" s="175">
        <v>26.838685222288408</v>
      </c>
      <c r="T105" s="175">
        <v>25.652352845616509</v>
      </c>
      <c r="U105" s="175">
        <v>25.347647154383495</v>
      </c>
      <c r="V105" s="175">
        <v>22.382935326077149</v>
      </c>
      <c r="W105" s="285">
        <v>22.117064673922854</v>
      </c>
      <c r="X105" s="175">
        <v>19.113517806537789</v>
      </c>
      <c r="Y105" s="175">
        <v>18.886482193462211</v>
      </c>
      <c r="Z105" s="175">
        <v>17.101568563744337</v>
      </c>
      <c r="AA105" s="175">
        <v>16.898431436255663</v>
      </c>
      <c r="AB105" s="175">
        <v>15.089619320950886</v>
      </c>
      <c r="AC105" s="175">
        <v>14.910380679049116</v>
      </c>
      <c r="AD105" s="175">
        <v>12.826176422808254</v>
      </c>
      <c r="AE105" s="175">
        <v>12.673823577191747</v>
      </c>
      <c r="AF105" s="175">
        <v>10.562733524665621</v>
      </c>
      <c r="AG105" s="175">
        <v>10.437266475334381</v>
      </c>
      <c r="AH105" s="175">
        <v>8.2992906265229873</v>
      </c>
      <c r="AI105" s="175">
        <v>8.2007093734770127</v>
      </c>
      <c r="AJ105" s="175">
        <v>6.0358477283803547</v>
      </c>
      <c r="AK105" s="175">
        <v>5.9641522716196462</v>
      </c>
      <c r="AL105" s="175">
        <v>4.5268857962852662</v>
      </c>
      <c r="AM105" s="175">
        <v>4.4731142037147347</v>
      </c>
      <c r="AN105" s="175">
        <v>3.0179238641901773</v>
      </c>
      <c r="AO105" s="175">
        <v>2.9820761358098231</v>
      </c>
    </row>
    <row r="106" spans="1:41" x14ac:dyDescent="0.25">
      <c r="A106" s="175">
        <v>57</v>
      </c>
      <c r="B106" s="175"/>
      <c r="C106" s="175"/>
      <c r="D106" s="175">
        <v>407.28353432283666</v>
      </c>
      <c r="E106" s="175">
        <v>114.71646567716331</v>
      </c>
      <c r="F106" s="175">
        <v>339.793063596926</v>
      </c>
      <c r="G106" s="175">
        <v>95.706936403073996</v>
      </c>
      <c r="H106" s="175">
        <v>272.30259287101535</v>
      </c>
      <c r="I106" s="175">
        <v>76.697407128984665</v>
      </c>
      <c r="J106" s="175">
        <v>230.95005011409896</v>
      </c>
      <c r="K106" s="175">
        <v>65.049949885901043</v>
      </c>
      <c r="L106" s="175">
        <v>189.59750735718259</v>
      </c>
      <c r="M106" s="175">
        <v>53.402492642817407</v>
      </c>
      <c r="N106" s="175">
        <v>154.87697617448868</v>
      </c>
      <c r="O106" s="175">
        <v>43.623023825511339</v>
      </c>
      <c r="P106" s="175">
        <v>120.15644499179473</v>
      </c>
      <c r="Q106" s="175">
        <v>33.843555008205271</v>
      </c>
      <c r="R106" s="175">
        <v>111.96396010599054</v>
      </c>
      <c r="S106" s="175">
        <v>31.536039894009456</v>
      </c>
      <c r="T106" s="175">
        <v>103.77147522018636</v>
      </c>
      <c r="U106" s="175">
        <v>29.228524779813643</v>
      </c>
      <c r="V106" s="175">
        <v>90.897570399636919</v>
      </c>
      <c r="W106" s="285">
        <v>25.602429600363077</v>
      </c>
      <c r="X106" s="175">
        <v>78.023665579087492</v>
      </c>
      <c r="Y106" s="175">
        <v>21.976334420912515</v>
      </c>
      <c r="Z106" s="175">
        <v>68.270707381701556</v>
      </c>
      <c r="AA106" s="175">
        <v>19.229292618298448</v>
      </c>
      <c r="AB106" s="175">
        <v>58.517749184315612</v>
      </c>
      <c r="AC106" s="175">
        <v>16.482250815684385</v>
      </c>
      <c r="AD106" s="175">
        <v>49.154909314825119</v>
      </c>
      <c r="AE106" s="175">
        <v>13.845090685174883</v>
      </c>
      <c r="AF106" s="175">
        <v>39.792069445334619</v>
      </c>
      <c r="AG106" s="175">
        <v>11.207930554665381</v>
      </c>
      <c r="AH106" s="175">
        <v>30.819347903739558</v>
      </c>
      <c r="AI106" s="175">
        <v>8.6806520962604434</v>
      </c>
      <c r="AJ106" s="175">
        <v>21.846626362144498</v>
      </c>
      <c r="AK106" s="175">
        <v>6.1533736378555037</v>
      </c>
      <c r="AL106" s="175">
        <v>14.434378132131185</v>
      </c>
      <c r="AM106" s="175">
        <v>4.0656218678688152</v>
      </c>
      <c r="AN106" s="175">
        <v>7.0221299021178734</v>
      </c>
      <c r="AO106" s="175">
        <v>1.9778700978821262</v>
      </c>
    </row>
    <row r="107" spans="1:41" x14ac:dyDescent="0.25">
      <c r="A107" s="175">
        <v>58</v>
      </c>
      <c r="B107" s="175"/>
      <c r="C107" s="175"/>
      <c r="D107" s="175">
        <v>368.42555247548444</v>
      </c>
      <c r="E107" s="175">
        <v>57.57444752451557</v>
      </c>
      <c r="F107" s="175">
        <v>297.07553351016173</v>
      </c>
      <c r="G107" s="175">
        <v>46.42446648983826</v>
      </c>
      <c r="H107" s="175">
        <v>225.72551454483906</v>
      </c>
      <c r="I107" s="175">
        <v>35.274485455160949</v>
      </c>
      <c r="J107" s="175">
        <v>186.37489802457017</v>
      </c>
      <c r="K107" s="175">
        <v>29.125101975429825</v>
      </c>
      <c r="L107" s="175">
        <v>147.02428150430129</v>
      </c>
      <c r="M107" s="175">
        <v>22.975718495698704</v>
      </c>
      <c r="N107" s="175">
        <v>119.78154699026899</v>
      </c>
      <c r="O107" s="175">
        <v>18.718453009731</v>
      </c>
      <c r="P107" s="175">
        <v>92.5388124762367</v>
      </c>
      <c r="Q107" s="175">
        <v>14.4611875237633</v>
      </c>
      <c r="R107" s="175">
        <v>87.782144545215189</v>
      </c>
      <c r="S107" s="175">
        <v>13.717855454784813</v>
      </c>
      <c r="T107" s="175">
        <v>83.025476614193678</v>
      </c>
      <c r="U107" s="175">
        <v>12.974523385806325</v>
      </c>
      <c r="V107" s="175">
        <v>73.944565109516233</v>
      </c>
      <c r="W107" s="285">
        <v>11.55543489048376</v>
      </c>
      <c r="X107" s="175">
        <v>64.863653604838802</v>
      </c>
      <c r="Y107" s="175">
        <v>10.136346395161192</v>
      </c>
      <c r="Z107" s="175">
        <v>56.215166457526962</v>
      </c>
      <c r="AA107" s="175">
        <v>8.7848335424730326</v>
      </c>
      <c r="AB107" s="175">
        <v>47.566679310215122</v>
      </c>
      <c r="AC107" s="175">
        <v>7.4333206897848747</v>
      </c>
      <c r="AD107" s="175">
        <v>39.78304087763447</v>
      </c>
      <c r="AE107" s="175">
        <v>6.2169591223655312</v>
      </c>
      <c r="AF107" s="175">
        <v>31.999402445053811</v>
      </c>
      <c r="AG107" s="175">
        <v>5.0005975549461885</v>
      </c>
      <c r="AH107" s="175">
        <v>24.648188369838746</v>
      </c>
      <c r="AI107" s="175">
        <v>3.8518116301612531</v>
      </c>
      <c r="AJ107" s="175">
        <v>17.296974294623681</v>
      </c>
      <c r="AK107" s="175">
        <v>2.703025705376318</v>
      </c>
      <c r="AL107" s="175">
        <v>10.37818457677421</v>
      </c>
      <c r="AM107" s="175">
        <v>1.6218154232257906</v>
      </c>
      <c r="AN107" s="175">
        <v>3.4593948589247363</v>
      </c>
      <c r="AO107" s="175">
        <v>0.54060514107526358</v>
      </c>
    </row>
    <row r="108" spans="1:41" x14ac:dyDescent="0.25">
      <c r="A108" s="175">
        <v>59</v>
      </c>
      <c r="B108" s="175"/>
      <c r="C108" s="175"/>
      <c r="D108" s="175">
        <v>906.33141848323487</v>
      </c>
      <c r="E108" s="175">
        <v>69.668581516765173</v>
      </c>
      <c r="F108" s="175">
        <v>777.71778993822659</v>
      </c>
      <c r="G108" s="175">
        <v>59.782210061773391</v>
      </c>
      <c r="H108" s="175">
        <v>649.10416139321842</v>
      </c>
      <c r="I108" s="175">
        <v>49.895838606781609</v>
      </c>
      <c r="J108" s="175">
        <v>562.27835439712976</v>
      </c>
      <c r="K108" s="175">
        <v>43.221645602870197</v>
      </c>
      <c r="L108" s="175">
        <v>475.45254740104122</v>
      </c>
      <c r="M108" s="175">
        <v>36.547452598958778</v>
      </c>
      <c r="N108" s="175">
        <v>394.1984499448086</v>
      </c>
      <c r="O108" s="175">
        <v>30.301550055191409</v>
      </c>
      <c r="P108" s="175">
        <v>312.94435248857593</v>
      </c>
      <c r="Q108" s="175">
        <v>24.055647511424038</v>
      </c>
      <c r="R108" s="175">
        <v>293.90767822740145</v>
      </c>
      <c r="S108" s="175">
        <v>22.592321772598542</v>
      </c>
      <c r="T108" s="175">
        <v>274.87100396622697</v>
      </c>
      <c r="U108" s="175">
        <v>21.128996033773042</v>
      </c>
      <c r="V108" s="175">
        <v>242.83367411205523</v>
      </c>
      <c r="W108" s="285">
        <v>18.666325887944765</v>
      </c>
      <c r="X108" s="175">
        <v>210.7963442578835</v>
      </c>
      <c r="Y108" s="175">
        <v>16.203655742116489</v>
      </c>
      <c r="Z108" s="175">
        <v>188.5095060984597</v>
      </c>
      <c r="AA108" s="175">
        <v>14.490493901540297</v>
      </c>
      <c r="AB108" s="175">
        <v>166.22266793903589</v>
      </c>
      <c r="AC108" s="175">
        <v>12.777332060964104</v>
      </c>
      <c r="AD108" s="175">
        <v>145.32875716457607</v>
      </c>
      <c r="AE108" s="175">
        <v>11.171242835423923</v>
      </c>
      <c r="AF108" s="175">
        <v>124.43484639011625</v>
      </c>
      <c r="AG108" s="175">
        <v>9.5651536098837422</v>
      </c>
      <c r="AH108" s="175">
        <v>104.93386300062042</v>
      </c>
      <c r="AI108" s="175">
        <v>8.0661369993795731</v>
      </c>
      <c r="AJ108" s="175">
        <v>85.432879611124591</v>
      </c>
      <c r="AK108" s="175">
        <v>6.5671203888754057</v>
      </c>
      <c r="AL108" s="175">
        <v>69.182060119878074</v>
      </c>
      <c r="AM108" s="175">
        <v>5.3179398801219318</v>
      </c>
      <c r="AN108" s="175">
        <v>52.931240628631542</v>
      </c>
      <c r="AO108" s="175">
        <v>4.0687593713684578</v>
      </c>
    </row>
    <row r="109" spans="1:41" x14ac:dyDescent="0.25">
      <c r="A109" s="175">
        <v>60</v>
      </c>
      <c r="B109" s="175"/>
      <c r="C109" s="175"/>
      <c r="D109" s="175">
        <v>522.69949214987003</v>
      </c>
      <c r="E109" s="175">
        <v>105.30050785012995</v>
      </c>
      <c r="F109" s="175">
        <v>429.89536257230554</v>
      </c>
      <c r="G109" s="175">
        <v>86.604637427694456</v>
      </c>
      <c r="H109" s="175">
        <v>337.09123299474101</v>
      </c>
      <c r="I109" s="175">
        <v>67.908767005258966</v>
      </c>
      <c r="J109" s="175">
        <v>284.65481897333689</v>
      </c>
      <c r="K109" s="175">
        <v>57.34518102666312</v>
      </c>
      <c r="L109" s="175">
        <v>232.21840495193271</v>
      </c>
      <c r="M109" s="175">
        <v>46.781595048067281</v>
      </c>
      <c r="N109" s="175">
        <v>193.51533745994394</v>
      </c>
      <c r="O109" s="175">
        <v>38.984662540056071</v>
      </c>
      <c r="P109" s="175">
        <v>154.81226996795513</v>
      </c>
      <c r="Q109" s="175">
        <v>31.187730032044854</v>
      </c>
      <c r="R109" s="175">
        <v>146.90519166314022</v>
      </c>
      <c r="S109" s="175">
        <v>29.594808336859767</v>
      </c>
      <c r="T109" s="175">
        <v>138.99811335832533</v>
      </c>
      <c r="U109" s="175">
        <v>28.001886641674684</v>
      </c>
      <c r="V109" s="175">
        <v>124.01628078078127</v>
      </c>
      <c r="W109" s="285">
        <v>24.983719219218727</v>
      </c>
      <c r="X109" s="175">
        <v>109.03444820323722</v>
      </c>
      <c r="Y109" s="175">
        <v>21.965551796762774</v>
      </c>
      <c r="Z109" s="175">
        <v>95.717263689864737</v>
      </c>
      <c r="AA109" s="175">
        <v>19.28273631013526</v>
      </c>
      <c r="AB109" s="175">
        <v>82.400079176492255</v>
      </c>
      <c r="AC109" s="175">
        <v>16.599920823507745</v>
      </c>
      <c r="AD109" s="175">
        <v>69.915218695205553</v>
      </c>
      <c r="AE109" s="175">
        <v>14.084781304794451</v>
      </c>
      <c r="AF109" s="175">
        <v>57.430358213918844</v>
      </c>
      <c r="AG109" s="175">
        <v>11.569641786081156</v>
      </c>
      <c r="AH109" s="175">
        <v>45.77782176471792</v>
      </c>
      <c r="AI109" s="175">
        <v>9.2221782352820814</v>
      </c>
      <c r="AJ109" s="175">
        <v>34.12528531551699</v>
      </c>
      <c r="AK109" s="175">
        <v>6.8747146844830054</v>
      </c>
      <c r="AL109" s="175">
        <v>24.137396930487629</v>
      </c>
      <c r="AM109" s="175">
        <v>4.8626030695123701</v>
      </c>
      <c r="AN109" s="175">
        <v>14.149508545458266</v>
      </c>
      <c r="AO109" s="175">
        <v>2.8504914545417339</v>
      </c>
    </row>
    <row r="110" spans="1:41" x14ac:dyDescent="0.25">
      <c r="A110" s="175">
        <v>61</v>
      </c>
      <c r="B110" s="175"/>
      <c r="C110" s="175"/>
      <c r="D110" s="175">
        <v>632.19214256864097</v>
      </c>
      <c r="E110" s="175">
        <v>62.807857431359011</v>
      </c>
      <c r="F110" s="175">
        <v>525.76555166140213</v>
      </c>
      <c r="G110" s="175">
        <v>52.234448338597851</v>
      </c>
      <c r="H110" s="175">
        <v>419.33896075416328</v>
      </c>
      <c r="I110" s="175">
        <v>41.661039245836697</v>
      </c>
      <c r="J110" s="175">
        <v>354.75530302412943</v>
      </c>
      <c r="K110" s="175">
        <v>35.244696975870525</v>
      </c>
      <c r="L110" s="175">
        <v>290.17164529409564</v>
      </c>
      <c r="M110" s="175">
        <v>28.828354705904353</v>
      </c>
      <c r="N110" s="175">
        <v>238.32279331364595</v>
      </c>
      <c r="O110" s="175">
        <v>23.677206686354044</v>
      </c>
      <c r="P110" s="175">
        <v>186.47394133319625</v>
      </c>
      <c r="Q110" s="175">
        <v>18.526058666803738</v>
      </c>
      <c r="R110" s="175">
        <v>175.10357905678185</v>
      </c>
      <c r="S110" s="175">
        <v>17.396420943218143</v>
      </c>
      <c r="T110" s="175">
        <v>163.73321678036746</v>
      </c>
      <c r="U110" s="175">
        <v>16.266783219632551</v>
      </c>
      <c r="V110" s="175">
        <v>145.54063713810439</v>
      </c>
      <c r="W110" s="285">
        <v>14.459362861895599</v>
      </c>
      <c r="X110" s="175">
        <v>127.34805749584135</v>
      </c>
      <c r="Y110" s="175">
        <v>12.651942504158649</v>
      </c>
      <c r="Z110" s="175">
        <v>111.88436479991775</v>
      </c>
      <c r="AA110" s="175">
        <v>11.115635200082242</v>
      </c>
      <c r="AB110" s="175">
        <v>96.420672103994164</v>
      </c>
      <c r="AC110" s="175">
        <v>9.5793278960058341</v>
      </c>
      <c r="AD110" s="175">
        <v>81.411793899127147</v>
      </c>
      <c r="AE110" s="175">
        <v>8.088206100872851</v>
      </c>
      <c r="AF110" s="175">
        <v>66.40291569426013</v>
      </c>
      <c r="AG110" s="175">
        <v>6.5970843057398669</v>
      </c>
      <c r="AH110" s="175">
        <v>51.848851980449687</v>
      </c>
      <c r="AI110" s="175">
        <v>5.1511480195503072</v>
      </c>
      <c r="AJ110" s="175">
        <v>37.294788266639252</v>
      </c>
      <c r="AK110" s="175">
        <v>3.7052117333607475</v>
      </c>
      <c r="AL110" s="175">
        <v>25.46961149916827</v>
      </c>
      <c r="AM110" s="175">
        <v>2.5303885008317297</v>
      </c>
      <c r="AN110" s="175">
        <v>13.644434731697286</v>
      </c>
      <c r="AO110" s="175">
        <v>1.3555652683027124</v>
      </c>
    </row>
    <row r="111" spans="1:41" x14ac:dyDescent="0.25">
      <c r="A111" s="175">
        <v>62</v>
      </c>
      <c r="B111" s="175"/>
      <c r="C111" s="175"/>
      <c r="D111" s="175">
        <v>444.90553928422599</v>
      </c>
      <c r="E111" s="175">
        <v>103.09446071577401</v>
      </c>
      <c r="F111" s="175">
        <v>373.86678985471912</v>
      </c>
      <c r="G111" s="175">
        <v>86.633210145280898</v>
      </c>
      <c r="H111" s="175">
        <v>302.82804042521224</v>
      </c>
      <c r="I111" s="175">
        <v>70.171959574787778</v>
      </c>
      <c r="J111" s="175">
        <v>257.76917650135357</v>
      </c>
      <c r="K111" s="175">
        <v>59.730823498646437</v>
      </c>
      <c r="L111" s="175">
        <v>212.7103125774949</v>
      </c>
      <c r="M111" s="175">
        <v>49.289687422505089</v>
      </c>
      <c r="N111" s="175">
        <v>174.14642003004832</v>
      </c>
      <c r="O111" s="175">
        <v>40.353579969951689</v>
      </c>
      <c r="P111" s="175">
        <v>135.58252748260173</v>
      </c>
      <c r="Q111" s="175">
        <v>31.417472517398284</v>
      </c>
      <c r="R111" s="175">
        <v>127.0578775510609</v>
      </c>
      <c r="S111" s="175">
        <v>29.442122448939109</v>
      </c>
      <c r="T111" s="175">
        <v>118.53322761952006</v>
      </c>
      <c r="U111" s="175">
        <v>27.466772380479938</v>
      </c>
      <c r="V111" s="175">
        <v>104.73141344464445</v>
      </c>
      <c r="W111" s="285">
        <v>24.268586555355562</v>
      </c>
      <c r="X111" s="175">
        <v>90.929599269768815</v>
      </c>
      <c r="Y111" s="175">
        <v>21.070400730231185</v>
      </c>
      <c r="Z111" s="175">
        <v>79.969335072073463</v>
      </c>
      <c r="AA111" s="175">
        <v>18.530664927926534</v>
      </c>
      <c r="AB111" s="175">
        <v>69.009070874378125</v>
      </c>
      <c r="AC111" s="175">
        <v>15.99092912562188</v>
      </c>
      <c r="AD111" s="175">
        <v>58.454742387708528</v>
      </c>
      <c r="AE111" s="175">
        <v>13.545257612291476</v>
      </c>
      <c r="AF111" s="175">
        <v>47.900413901038931</v>
      </c>
      <c r="AG111" s="175">
        <v>11.099586098961071</v>
      </c>
      <c r="AH111" s="175">
        <v>37.752021125395089</v>
      </c>
      <c r="AI111" s="175">
        <v>8.747978874604911</v>
      </c>
      <c r="AJ111" s="175">
        <v>27.603628349751247</v>
      </c>
      <c r="AK111" s="175">
        <v>6.3963716502487529</v>
      </c>
      <c r="AL111" s="175">
        <v>19.078978418210422</v>
      </c>
      <c r="AM111" s="175">
        <v>4.4210215817895788</v>
      </c>
      <c r="AN111" s="175">
        <v>10.554328486669595</v>
      </c>
      <c r="AO111" s="175">
        <v>2.4456715133304052</v>
      </c>
    </row>
    <row r="112" spans="1:41" x14ac:dyDescent="0.25">
      <c r="A112" s="175">
        <v>63</v>
      </c>
      <c r="B112" s="175"/>
      <c r="C112" s="175"/>
      <c r="D112" s="175">
        <v>634.53554477322677</v>
      </c>
      <c r="E112" s="175">
        <v>53.46445522677319</v>
      </c>
      <c r="F112" s="175">
        <v>516.94356518225811</v>
      </c>
      <c r="G112" s="175">
        <v>43.556434817741817</v>
      </c>
      <c r="H112" s="175">
        <v>399.35158559128951</v>
      </c>
      <c r="I112" s="175">
        <v>33.648414408710451</v>
      </c>
      <c r="J112" s="175">
        <v>336.17471812476913</v>
      </c>
      <c r="K112" s="175">
        <v>28.325281875230854</v>
      </c>
      <c r="L112" s="175">
        <v>272.99785065824875</v>
      </c>
      <c r="M112" s="175">
        <v>23.002149341751256</v>
      </c>
      <c r="N112" s="175">
        <v>230.11136398389547</v>
      </c>
      <c r="O112" s="175">
        <v>19.38863601610452</v>
      </c>
      <c r="P112" s="175">
        <v>187.22487730954219</v>
      </c>
      <c r="Q112" s="175">
        <v>15.775122690457787</v>
      </c>
      <c r="R112" s="175">
        <v>178.46312196747004</v>
      </c>
      <c r="S112" s="175">
        <v>15.036878032529959</v>
      </c>
      <c r="T112" s="175">
        <v>169.70136662539787</v>
      </c>
      <c r="U112" s="175">
        <v>14.298633374602131</v>
      </c>
      <c r="V112" s="175">
        <v>152.63900095925732</v>
      </c>
      <c r="W112" s="285">
        <v>12.860999040742678</v>
      </c>
      <c r="X112" s="175">
        <v>135.57663529311677</v>
      </c>
      <c r="Y112" s="175">
        <v>11.423364706883225</v>
      </c>
      <c r="Z112" s="175">
        <v>119.43655966298383</v>
      </c>
      <c r="AA112" s="175">
        <v>10.063440337016175</v>
      </c>
      <c r="AB112" s="175">
        <v>103.29648403285087</v>
      </c>
      <c r="AC112" s="175">
        <v>8.7035159671491229</v>
      </c>
      <c r="AD112" s="175">
        <v>87.61755342072172</v>
      </c>
      <c r="AE112" s="175">
        <v>7.3824465792782741</v>
      </c>
      <c r="AF112" s="175">
        <v>71.938622808592569</v>
      </c>
      <c r="AG112" s="175">
        <v>6.0613771914074253</v>
      </c>
      <c r="AH112" s="175">
        <v>56.720837214467217</v>
      </c>
      <c r="AI112" s="175">
        <v>4.7791627855327778</v>
      </c>
      <c r="AJ112" s="175">
        <v>41.503051620341871</v>
      </c>
      <c r="AK112" s="175">
        <v>3.49694837965813</v>
      </c>
      <c r="AL112" s="175">
        <v>29.513281152243106</v>
      </c>
      <c r="AM112" s="175">
        <v>2.4867188477568924</v>
      </c>
      <c r="AN112" s="175">
        <v>17.523510684144345</v>
      </c>
      <c r="AO112" s="175">
        <v>1.4764893158556549</v>
      </c>
    </row>
    <row r="113" spans="1:41" x14ac:dyDescent="0.25">
      <c r="A113" s="175">
        <v>64</v>
      </c>
      <c r="B113" s="175"/>
      <c r="C113" s="175"/>
      <c r="D113" s="175">
        <v>520.25131344513795</v>
      </c>
      <c r="E113" s="175">
        <v>49.748686554862012</v>
      </c>
      <c r="F113" s="175">
        <v>443.12633803090262</v>
      </c>
      <c r="G113" s="175">
        <v>42.373661969097384</v>
      </c>
      <c r="H113" s="175">
        <v>366.00136261666722</v>
      </c>
      <c r="I113" s="175">
        <v>34.998637383332749</v>
      </c>
      <c r="J113" s="175">
        <v>313.0635096696181</v>
      </c>
      <c r="K113" s="175">
        <v>29.936490330381879</v>
      </c>
      <c r="L113" s="175">
        <v>260.12565672256898</v>
      </c>
      <c r="M113" s="175">
        <v>24.874343277431006</v>
      </c>
      <c r="N113" s="175">
        <v>211.75141178819649</v>
      </c>
      <c r="O113" s="175">
        <v>20.248588211803487</v>
      </c>
      <c r="P113" s="175">
        <v>163.37716685382404</v>
      </c>
      <c r="Q113" s="175">
        <v>15.622833146175966</v>
      </c>
      <c r="R113" s="175">
        <v>152.42450762340007</v>
      </c>
      <c r="S113" s="175">
        <v>14.575492376599923</v>
      </c>
      <c r="T113" s="175">
        <v>141.47184839297611</v>
      </c>
      <c r="U113" s="175">
        <v>13.528151607023881</v>
      </c>
      <c r="V113" s="175">
        <v>123.67377714353718</v>
      </c>
      <c r="W113" s="285">
        <v>11.826222856462811</v>
      </c>
      <c r="X113" s="175">
        <v>105.87570589409825</v>
      </c>
      <c r="Y113" s="175">
        <v>10.124294105901743</v>
      </c>
      <c r="Z113" s="175">
        <v>93.097603458603629</v>
      </c>
      <c r="AA113" s="175">
        <v>8.9023965413963602</v>
      </c>
      <c r="AB113" s="175">
        <v>80.319501023109012</v>
      </c>
      <c r="AC113" s="175">
        <v>7.680498976890977</v>
      </c>
      <c r="AD113" s="175">
        <v>68.454120190149737</v>
      </c>
      <c r="AE113" s="175">
        <v>6.5458798098502653</v>
      </c>
      <c r="AF113" s="175">
        <v>56.588739357190441</v>
      </c>
      <c r="AG113" s="175">
        <v>5.4112606428095527</v>
      </c>
      <c r="AH113" s="175">
        <v>45.179719325498823</v>
      </c>
      <c r="AI113" s="175">
        <v>4.3202806745011753</v>
      </c>
      <c r="AJ113" s="175">
        <v>33.770699293807198</v>
      </c>
      <c r="AK113" s="175">
        <v>3.2293007061927974</v>
      </c>
      <c r="AL113" s="175">
        <v>24.187122467186239</v>
      </c>
      <c r="AM113" s="175">
        <v>2.3128775328137601</v>
      </c>
      <c r="AN113" s="175">
        <v>14.603545640565276</v>
      </c>
      <c r="AO113" s="175">
        <v>1.3964543594347232</v>
      </c>
    </row>
    <row r="114" spans="1:41" x14ac:dyDescent="0.25">
      <c r="A114" s="175">
        <v>65</v>
      </c>
      <c r="B114" s="175"/>
      <c r="C114" s="175"/>
      <c r="D114" s="175">
        <v>808.79374514417691</v>
      </c>
      <c r="E114" s="175">
        <v>68.20625485582309</v>
      </c>
      <c r="F114" s="175">
        <v>696.7430723562436</v>
      </c>
      <c r="G114" s="175">
        <v>58.756927643756384</v>
      </c>
      <c r="H114" s="175">
        <v>584.69239956831029</v>
      </c>
      <c r="I114" s="175">
        <v>49.307600431689671</v>
      </c>
      <c r="J114" s="175">
        <v>505.84192612494985</v>
      </c>
      <c r="K114" s="175">
        <v>42.658073875050135</v>
      </c>
      <c r="L114" s="175">
        <v>426.99145268158941</v>
      </c>
      <c r="M114" s="175">
        <v>36.008547318410599</v>
      </c>
      <c r="N114" s="175">
        <v>351.36877639672906</v>
      </c>
      <c r="O114" s="175">
        <v>29.631223603270922</v>
      </c>
      <c r="P114" s="175">
        <v>275.74610011186877</v>
      </c>
      <c r="Q114" s="175">
        <v>23.253899888131247</v>
      </c>
      <c r="R114" s="175">
        <v>258.22377268001088</v>
      </c>
      <c r="S114" s="175">
        <v>21.776227319989129</v>
      </c>
      <c r="T114" s="175">
        <v>240.70144524815299</v>
      </c>
      <c r="U114" s="175">
        <v>20.298554751847011</v>
      </c>
      <c r="V114" s="175">
        <v>212.57349858122325</v>
      </c>
      <c r="W114" s="285">
        <v>17.926501418776766</v>
      </c>
      <c r="X114" s="175">
        <v>184.44555191429347</v>
      </c>
      <c r="Y114" s="175">
        <v>15.554448085706522</v>
      </c>
      <c r="Z114" s="175">
        <v>164.15654120372119</v>
      </c>
      <c r="AA114" s="175">
        <v>13.843458796278803</v>
      </c>
      <c r="AB114" s="175">
        <v>143.86753049314891</v>
      </c>
      <c r="AC114" s="175">
        <v>12.132469506851086</v>
      </c>
      <c r="AD114" s="175">
        <v>123.57851978257663</v>
      </c>
      <c r="AE114" s="175">
        <v>10.421480217423369</v>
      </c>
      <c r="AF114" s="175">
        <v>103.28950907200435</v>
      </c>
      <c r="AG114" s="175">
        <v>8.7104909279956519</v>
      </c>
      <c r="AH114" s="175">
        <v>84.844953880575005</v>
      </c>
      <c r="AI114" s="175">
        <v>7.1550461194249992</v>
      </c>
      <c r="AJ114" s="175">
        <v>66.400398689145646</v>
      </c>
      <c r="AK114" s="175">
        <v>5.5996013108543474</v>
      </c>
      <c r="AL114" s="175">
        <v>51.18364065621644</v>
      </c>
      <c r="AM114" s="175">
        <v>4.3163593437835592</v>
      </c>
      <c r="AN114" s="175">
        <v>35.966882623287226</v>
      </c>
      <c r="AO114" s="175">
        <v>3.0331173767127715</v>
      </c>
    </row>
    <row r="115" spans="1:41" x14ac:dyDescent="0.25">
      <c r="A115" s="175">
        <v>66</v>
      </c>
      <c r="B115" s="175"/>
      <c r="C115" s="175"/>
      <c r="D115" s="175">
        <v>814.1289758022566</v>
      </c>
      <c r="E115" s="175">
        <v>94.871024197743452</v>
      </c>
      <c r="F115" s="175">
        <v>685.6058646607562</v>
      </c>
      <c r="G115" s="175">
        <v>79.894135339243789</v>
      </c>
      <c r="H115" s="175">
        <v>557.0827535192559</v>
      </c>
      <c r="I115" s="175">
        <v>64.91724648074414</v>
      </c>
      <c r="J115" s="175">
        <v>478.26718710495601</v>
      </c>
      <c r="K115" s="175">
        <v>55.732812895044006</v>
      </c>
      <c r="L115" s="175">
        <v>399.45162069065617</v>
      </c>
      <c r="M115" s="175">
        <v>46.548379309343872</v>
      </c>
      <c r="N115" s="175">
        <v>333.62271010598522</v>
      </c>
      <c r="O115" s="175">
        <v>38.87728989401478</v>
      </c>
      <c r="P115" s="175">
        <v>267.79379952131433</v>
      </c>
      <c r="Q115" s="175">
        <v>31.206200478685687</v>
      </c>
      <c r="R115" s="175">
        <v>253.01588081863309</v>
      </c>
      <c r="S115" s="175">
        <v>29.484119181366914</v>
      </c>
      <c r="T115" s="175">
        <v>238.23796211595186</v>
      </c>
      <c r="U115" s="175">
        <v>27.762037884048137</v>
      </c>
      <c r="V115" s="175">
        <v>211.81683473843088</v>
      </c>
      <c r="W115" s="285">
        <v>24.683165261569116</v>
      </c>
      <c r="X115" s="175">
        <v>185.39570736090991</v>
      </c>
      <c r="Y115" s="175">
        <v>21.604292639090094</v>
      </c>
      <c r="Z115" s="175">
        <v>164.79618432080881</v>
      </c>
      <c r="AA115" s="175">
        <v>19.203815679191194</v>
      </c>
      <c r="AB115" s="175">
        <v>144.1966612807077</v>
      </c>
      <c r="AC115" s="175">
        <v>16.803338719292295</v>
      </c>
      <c r="AD115" s="175">
        <v>124.49276967713274</v>
      </c>
      <c r="AE115" s="175">
        <v>14.50723032286726</v>
      </c>
      <c r="AF115" s="175">
        <v>104.78887807355778</v>
      </c>
      <c r="AG115" s="175">
        <v>12.211121926442226</v>
      </c>
      <c r="AH115" s="175">
        <v>85.98061790650894</v>
      </c>
      <c r="AI115" s="175">
        <v>10.019382093491057</v>
      </c>
      <c r="AJ115" s="175">
        <v>67.172357739460111</v>
      </c>
      <c r="AK115" s="175">
        <v>7.8276422605398883</v>
      </c>
      <c r="AL115" s="175">
        <v>51.946623318515819</v>
      </c>
      <c r="AM115" s="175">
        <v>6.0533766814841803</v>
      </c>
      <c r="AN115" s="175">
        <v>36.720888897571527</v>
      </c>
      <c r="AO115" s="175">
        <v>4.2791111024284723</v>
      </c>
    </row>
    <row r="116" spans="1:41" x14ac:dyDescent="0.25">
      <c r="A116" s="175">
        <v>67</v>
      </c>
      <c r="B116" s="175"/>
      <c r="C116" s="175"/>
      <c r="D116" s="175">
        <v>643.55051633939036</v>
      </c>
      <c r="E116" s="175">
        <v>16.449483660609658</v>
      </c>
      <c r="F116" s="175">
        <v>542.63009445889509</v>
      </c>
      <c r="G116" s="175">
        <v>13.869905541104961</v>
      </c>
      <c r="H116" s="175">
        <v>441.70967257839976</v>
      </c>
      <c r="I116" s="175">
        <v>11.290327421600265</v>
      </c>
      <c r="J116" s="175">
        <v>378.81723575432295</v>
      </c>
      <c r="K116" s="175">
        <v>9.6827642456770473</v>
      </c>
      <c r="L116" s="175">
        <v>315.9247989302462</v>
      </c>
      <c r="M116" s="175">
        <v>8.075201069753831</v>
      </c>
      <c r="N116" s="175">
        <v>261.3205126953888</v>
      </c>
      <c r="O116" s="175">
        <v>6.679487304611194</v>
      </c>
      <c r="P116" s="175">
        <v>206.71622646053146</v>
      </c>
      <c r="Q116" s="175">
        <v>5.2837735394685561</v>
      </c>
      <c r="R116" s="175">
        <v>194.04023144172527</v>
      </c>
      <c r="S116" s="175">
        <v>4.95976855827473</v>
      </c>
      <c r="T116" s="175">
        <v>181.36423642291911</v>
      </c>
      <c r="U116" s="175">
        <v>4.6357635770809029</v>
      </c>
      <c r="V116" s="175">
        <v>160.4000908148935</v>
      </c>
      <c r="W116" s="285">
        <v>4.0999091851064975</v>
      </c>
      <c r="X116" s="175">
        <v>139.43594520686793</v>
      </c>
      <c r="Y116" s="175">
        <v>3.5640547931320925</v>
      </c>
      <c r="Z116" s="175">
        <v>123.34718229838316</v>
      </c>
      <c r="AA116" s="175">
        <v>3.152817701616851</v>
      </c>
      <c r="AB116" s="175">
        <v>107.25841938989839</v>
      </c>
      <c r="AC116" s="175">
        <v>2.7415806101016096</v>
      </c>
      <c r="AD116" s="175">
        <v>91.169656481413639</v>
      </c>
      <c r="AE116" s="175">
        <v>2.3303435185863681</v>
      </c>
      <c r="AF116" s="175">
        <v>75.080893572928872</v>
      </c>
      <c r="AG116" s="175">
        <v>1.9191064270711267</v>
      </c>
      <c r="AH116" s="175">
        <v>59.479668934398198</v>
      </c>
      <c r="AI116" s="175">
        <v>1.5203310656018016</v>
      </c>
      <c r="AJ116" s="175">
        <v>43.878444295867524</v>
      </c>
      <c r="AK116" s="175">
        <v>1.1215557041324766</v>
      </c>
      <c r="AL116" s="175">
        <v>31.202449277061351</v>
      </c>
      <c r="AM116" s="175">
        <v>0.79755072293865004</v>
      </c>
      <c r="AN116" s="175">
        <v>18.526454258255178</v>
      </c>
      <c r="AO116" s="175">
        <v>0.47354574174482345</v>
      </c>
    </row>
    <row r="117" spans="1:41" x14ac:dyDescent="0.25">
      <c r="A117" s="175">
        <v>68</v>
      </c>
      <c r="B117" s="175"/>
      <c r="C117" s="175"/>
      <c r="D117" s="175">
        <v>864.89838954038999</v>
      </c>
      <c r="E117" s="175">
        <v>26.101610459610022</v>
      </c>
      <c r="F117" s="175">
        <v>726.57288952972158</v>
      </c>
      <c r="G117" s="175">
        <v>21.927110470278453</v>
      </c>
      <c r="H117" s="175">
        <v>588.24738951905317</v>
      </c>
      <c r="I117" s="175">
        <v>17.752610480946885</v>
      </c>
      <c r="J117" s="175">
        <v>503.31067898618653</v>
      </c>
      <c r="K117" s="175">
        <v>15.189321013813464</v>
      </c>
      <c r="L117" s="175">
        <v>418.37396845331995</v>
      </c>
      <c r="M117" s="175">
        <v>12.626031546680045</v>
      </c>
      <c r="N117" s="175">
        <v>348.4831895005612</v>
      </c>
      <c r="O117" s="175">
        <v>10.516810499438831</v>
      </c>
      <c r="P117" s="175">
        <v>278.59241054780239</v>
      </c>
      <c r="Q117" s="175">
        <v>8.407589452197616</v>
      </c>
      <c r="R117" s="175">
        <v>263.54647896769461</v>
      </c>
      <c r="S117" s="175">
        <v>7.9535210323054111</v>
      </c>
      <c r="T117" s="175">
        <v>248.50054738758681</v>
      </c>
      <c r="U117" s="175">
        <v>7.4994526124132053</v>
      </c>
      <c r="V117" s="175">
        <v>221.80615264868587</v>
      </c>
      <c r="W117" s="285">
        <v>6.6938473513141306</v>
      </c>
      <c r="X117" s="175">
        <v>195.11175790978496</v>
      </c>
      <c r="Y117" s="175">
        <v>5.8882420902150558</v>
      </c>
      <c r="Z117" s="175">
        <v>172.78553685543145</v>
      </c>
      <c r="AA117" s="175">
        <v>5.2144631445685565</v>
      </c>
      <c r="AB117" s="175">
        <v>150.45931580107796</v>
      </c>
      <c r="AC117" s="175">
        <v>4.5406841989220581</v>
      </c>
      <c r="AD117" s="175">
        <v>128.61844737834082</v>
      </c>
      <c r="AE117" s="175">
        <v>3.8815526216591785</v>
      </c>
      <c r="AF117" s="175">
        <v>106.7775789556037</v>
      </c>
      <c r="AG117" s="175">
        <v>3.2224210443962993</v>
      </c>
      <c r="AH117" s="175">
        <v>85.907415796099343</v>
      </c>
      <c r="AI117" s="175">
        <v>2.592584203900659</v>
      </c>
      <c r="AJ117" s="175">
        <v>65.037252636594985</v>
      </c>
      <c r="AK117" s="175">
        <v>1.9627473634050185</v>
      </c>
      <c r="AL117" s="175">
        <v>48.535263161638049</v>
      </c>
      <c r="AM117" s="175">
        <v>1.4647368383619541</v>
      </c>
      <c r="AN117" s="175">
        <v>32.033273686681113</v>
      </c>
      <c r="AO117" s="175">
        <v>0.9667263133188897</v>
      </c>
    </row>
    <row r="118" spans="1:41" x14ac:dyDescent="0.25">
      <c r="A118" s="175">
        <v>69</v>
      </c>
      <c r="B118" s="175"/>
      <c r="C118" s="286"/>
      <c r="D118" s="286">
        <v>1363.9030751428747</v>
      </c>
      <c r="E118" s="286">
        <v>16.096924857125281</v>
      </c>
      <c r="F118" s="286">
        <v>1237.8902910264135</v>
      </c>
      <c r="G118" s="286">
        <v>14.609708973586534</v>
      </c>
      <c r="H118" s="286">
        <v>1111.8775069099522</v>
      </c>
      <c r="I118" s="286">
        <v>13.122493090047785</v>
      </c>
      <c r="J118" s="286">
        <v>980.92304498500232</v>
      </c>
      <c r="K118" s="286">
        <v>11.576955014997711</v>
      </c>
      <c r="L118" s="286">
        <v>849.96858306005231</v>
      </c>
      <c r="M118" s="286">
        <v>10.03141693994764</v>
      </c>
      <c r="N118" s="286">
        <v>689.36405428417038</v>
      </c>
      <c r="O118" s="286">
        <v>8.1359457158296262</v>
      </c>
      <c r="P118" s="286">
        <v>528.75952550828833</v>
      </c>
      <c r="Q118" s="286">
        <v>6.2404744917116126</v>
      </c>
      <c r="R118" s="286">
        <v>489.22610304037897</v>
      </c>
      <c r="S118" s="286">
        <v>5.773896959621025</v>
      </c>
      <c r="T118" s="286">
        <v>449.69268057246956</v>
      </c>
      <c r="U118" s="286">
        <v>5.3073194275304374</v>
      </c>
      <c r="V118" s="286">
        <v>392.36921799400091</v>
      </c>
      <c r="W118" s="285">
        <v>4.6307820059990847</v>
      </c>
      <c r="X118" s="175">
        <v>335.04575541553226</v>
      </c>
      <c r="Y118" s="175">
        <v>3.9542445844677321</v>
      </c>
      <c r="Z118" s="175">
        <v>304.40735300290248</v>
      </c>
      <c r="AA118" s="175">
        <v>3.5926469970975266</v>
      </c>
      <c r="AB118" s="175">
        <v>273.76895059027265</v>
      </c>
      <c r="AC118" s="175">
        <v>3.231049409727321</v>
      </c>
      <c r="AD118" s="175">
        <v>244.11888373934062</v>
      </c>
      <c r="AE118" s="175">
        <v>2.8811162606593803</v>
      </c>
      <c r="AF118" s="175">
        <v>214.46881688840855</v>
      </c>
      <c r="AG118" s="175">
        <v>2.5311831115914392</v>
      </c>
      <c r="AH118" s="175">
        <v>186.3012533800231</v>
      </c>
      <c r="AI118" s="175">
        <v>2.1987466199768955</v>
      </c>
      <c r="AJ118" s="175">
        <v>158.13368987163764</v>
      </c>
      <c r="AK118" s="175">
        <v>1.8663101283623516</v>
      </c>
      <c r="AL118" s="175">
        <v>135.89613973343859</v>
      </c>
      <c r="AM118" s="175">
        <v>1.6038602665613959</v>
      </c>
      <c r="AN118" s="175">
        <v>113.65858959523956</v>
      </c>
      <c r="AO118" s="175">
        <v>1.34141040476044</v>
      </c>
    </row>
    <row r="119" spans="1:41" x14ac:dyDescent="0.25">
      <c r="A119" t="s">
        <v>1099</v>
      </c>
    </row>
    <row r="121" spans="1:41" x14ac:dyDescent="0.25">
      <c r="A121" t="s">
        <v>880</v>
      </c>
    </row>
    <row r="122" spans="1:41" x14ac:dyDescent="0.25">
      <c r="A122" t="s">
        <v>12</v>
      </c>
      <c r="B122" t="s">
        <v>860</v>
      </c>
      <c r="C122" t="s">
        <v>861</v>
      </c>
      <c r="D122" t="s">
        <v>862</v>
      </c>
      <c r="E122" t="s">
        <v>863</v>
      </c>
      <c r="F122" t="s">
        <v>864</v>
      </c>
      <c r="G122" t="s">
        <v>865</v>
      </c>
      <c r="H122" t="s">
        <v>866</v>
      </c>
      <c r="I122" t="s">
        <v>867</v>
      </c>
      <c r="J122" t="s">
        <v>868</v>
      </c>
      <c r="K122" t="s">
        <v>869</v>
      </c>
      <c r="L122" t="s">
        <v>870</v>
      </c>
      <c r="M122" t="s">
        <v>871</v>
      </c>
    </row>
    <row r="123" spans="1:41" x14ac:dyDescent="0.25">
      <c r="A123" t="s">
        <v>162</v>
      </c>
      <c r="B123">
        <v>12.6</v>
      </c>
      <c r="C123">
        <f>4+34.8</f>
        <v>38.799999999999997</v>
      </c>
      <c r="D123">
        <f>4.5+81.9</f>
        <v>86.4</v>
      </c>
      <c r="E123" s="287">
        <f t="shared" ref="E123:G130" si="5">B123/SUM($B123:$D123)</f>
        <v>9.1436865021770675E-2</v>
      </c>
      <c r="F123" s="287">
        <f t="shared" si="5"/>
        <v>0.2815674891146589</v>
      </c>
      <c r="G123" s="287">
        <f t="shared" si="5"/>
        <v>0.62699564586357037</v>
      </c>
      <c r="H123" s="468">
        <f>'Green+Social Interface'!$Z$71</f>
        <v>0.32</v>
      </c>
      <c r="I123">
        <f>AVERAGE(0.04165,0.04527,0.04268)*3.6</f>
        <v>0.15551999999999999</v>
      </c>
      <c r="J123">
        <f>AVERAGE(13.95,12.95,21.95)/15/4</f>
        <v>0.27138888888888885</v>
      </c>
      <c r="K123">
        <f>1.2/277.77</f>
        <v>4.3201209633869746E-3</v>
      </c>
      <c r="L123">
        <f>51.53/277.77</f>
        <v>0.18551319436944236</v>
      </c>
      <c r="M123">
        <v>0.25740000000000002</v>
      </c>
    </row>
    <row r="124" spans="1:41" x14ac:dyDescent="0.25">
      <c r="A124" t="s">
        <v>163</v>
      </c>
      <c r="B124">
        <v>12.6</v>
      </c>
      <c r="C124">
        <f>4+34.8</f>
        <v>38.799999999999997</v>
      </c>
      <c r="D124">
        <f>4.5+81.9</f>
        <v>86.4</v>
      </c>
      <c r="E124" s="287">
        <f t="shared" si="5"/>
        <v>9.1436865021770675E-2</v>
      </c>
      <c r="F124" s="287">
        <f t="shared" si="5"/>
        <v>0.2815674891146589</v>
      </c>
      <c r="G124" s="287">
        <f t="shared" si="5"/>
        <v>0.62699564586357037</v>
      </c>
      <c r="H124" s="468">
        <f>'Green+Social Interface'!$Z$71</f>
        <v>0.32</v>
      </c>
      <c r="I124">
        <f>AVERAGE(0.03794,0.03025,0.04444,0.05588,0.04418,0.04109,0.04418,0.0448)*3.6</f>
        <v>0.15424200000000002</v>
      </c>
      <c r="J124">
        <f t="shared" ref="J124:J130" si="6">AVERAGE(13.95,12.95,21.95)/15/4</f>
        <v>0.27138888888888885</v>
      </c>
      <c r="K124">
        <f t="shared" ref="K124:K130" si="7">1.2/277.77</f>
        <v>4.3201209633869746E-3</v>
      </c>
      <c r="L124">
        <f t="shared" ref="L124:L130" si="8">51.53/277.77</f>
        <v>0.18551319436944236</v>
      </c>
      <c r="M124">
        <v>0.25740000000000002</v>
      </c>
    </row>
    <row r="125" spans="1:41" x14ac:dyDescent="0.25">
      <c r="A125" t="s">
        <v>223</v>
      </c>
      <c r="B125">
        <v>15.1</v>
      </c>
      <c r="C125">
        <f>2.9+107.8</f>
        <v>110.7</v>
      </c>
      <c r="D125">
        <f>4.6+52</f>
        <v>56.6</v>
      </c>
      <c r="E125" s="287">
        <f t="shared" si="5"/>
        <v>8.2785087719298239E-2</v>
      </c>
      <c r="F125" s="287">
        <f t="shared" si="5"/>
        <v>0.60690789473684215</v>
      </c>
      <c r="G125" s="287">
        <f t="shared" si="5"/>
        <v>0.31030701754385964</v>
      </c>
      <c r="H125" s="468">
        <f>'Green+Social Interface'!$Z$71</f>
        <v>0.32</v>
      </c>
      <c r="I125">
        <f>AVERAGE(0.0308,0.0216,0.03098,0.0342,0.03872,0.03872,0.0292)*3.6</f>
        <v>0.11531314285714289</v>
      </c>
      <c r="J125">
        <f t="shared" si="6"/>
        <v>0.27138888888888885</v>
      </c>
      <c r="K125">
        <f t="shared" si="7"/>
        <v>4.3201209633869746E-3</v>
      </c>
      <c r="L125">
        <f t="shared" si="8"/>
        <v>0.18551319436944236</v>
      </c>
      <c r="M125">
        <v>0.2452</v>
      </c>
    </row>
    <row r="126" spans="1:41" x14ac:dyDescent="0.25">
      <c r="A126" t="s">
        <v>221</v>
      </c>
      <c r="B126">
        <v>3.8</v>
      </c>
      <c r="C126">
        <f>4.1+4.8</f>
        <v>8.8999999999999986</v>
      </c>
      <c r="D126">
        <f>-3.2+53.3</f>
        <v>50.099999999999994</v>
      </c>
      <c r="E126" s="287">
        <f t="shared" si="5"/>
        <v>6.0509554140127389E-2</v>
      </c>
      <c r="F126" s="287">
        <f t="shared" si="5"/>
        <v>0.14171974522292993</v>
      </c>
      <c r="G126" s="287">
        <f t="shared" si="5"/>
        <v>0.79777070063694266</v>
      </c>
      <c r="H126" s="468">
        <f>'Green+Social Interface'!$Z$71</f>
        <v>0.32</v>
      </c>
      <c r="I126">
        <f>AVERAGE(0.05379,0.05554,0.07126)*3.6</f>
        <v>0.21670800000000001</v>
      </c>
      <c r="J126">
        <f t="shared" si="6"/>
        <v>0.27138888888888885</v>
      </c>
      <c r="K126">
        <f t="shared" si="7"/>
        <v>4.3201209633869746E-3</v>
      </c>
      <c r="L126">
        <f t="shared" si="8"/>
        <v>0.18551319436944236</v>
      </c>
      <c r="M126">
        <v>0.25530000000000003</v>
      </c>
    </row>
    <row r="127" spans="1:41" x14ac:dyDescent="0.25">
      <c r="A127" t="s">
        <v>169</v>
      </c>
      <c r="B127">
        <v>5.4</v>
      </c>
      <c r="C127">
        <f>2.1+10.3</f>
        <v>12.4</v>
      </c>
      <c r="D127">
        <f>4.8+21</f>
        <v>25.8</v>
      </c>
      <c r="E127" s="287">
        <f t="shared" si="5"/>
        <v>0.12385321100917432</v>
      </c>
      <c r="F127" s="287">
        <f t="shared" si="5"/>
        <v>0.28440366972477066</v>
      </c>
      <c r="G127" s="287">
        <f t="shared" si="5"/>
        <v>0.59174311926605505</v>
      </c>
      <c r="H127" s="468">
        <f>'Green+Social Interface'!$Z$71</f>
        <v>0.32</v>
      </c>
      <c r="I127">
        <f>AVERAGE(0.16126,0.1611)*3.6</f>
        <v>0.58024799999999999</v>
      </c>
      <c r="J127">
        <f t="shared" si="6"/>
        <v>0.27138888888888885</v>
      </c>
      <c r="K127">
        <f t="shared" si="7"/>
        <v>4.3201209633869746E-3</v>
      </c>
      <c r="L127">
        <f t="shared" si="8"/>
        <v>0.18551319436944236</v>
      </c>
      <c r="M127">
        <v>0.20200000000000001</v>
      </c>
    </row>
    <row r="128" spans="1:41" x14ac:dyDescent="0.25">
      <c r="A128" t="s">
        <v>166</v>
      </c>
      <c r="B128">
        <f>5.5</f>
        <v>5.5</v>
      </c>
      <c r="C128">
        <f>1.5+7.5</f>
        <v>9</v>
      </c>
      <c r="D128">
        <f>1.2+16.9</f>
        <v>18.099999999999998</v>
      </c>
      <c r="E128" s="287">
        <f t="shared" si="5"/>
        <v>0.16871165644171782</v>
      </c>
      <c r="F128" s="287">
        <f t="shared" si="5"/>
        <v>0.27607361963190191</v>
      </c>
      <c r="G128" s="287">
        <f t="shared" si="5"/>
        <v>0.55521472392638038</v>
      </c>
      <c r="H128" s="468">
        <f>'Green+Social Interface'!$Z$71</f>
        <v>0.32</v>
      </c>
      <c r="I128">
        <f>AVERAGE(0.04873,0.04708,0.05443,0.05192,0.05443)*3.6</f>
        <v>0.18474479999999999</v>
      </c>
      <c r="J128">
        <f t="shared" si="6"/>
        <v>0.27138888888888885</v>
      </c>
      <c r="K128">
        <f t="shared" si="7"/>
        <v>4.3201209633869746E-3</v>
      </c>
      <c r="L128">
        <f t="shared" si="8"/>
        <v>0.18551319436944236</v>
      </c>
      <c r="M128">
        <v>8.4599999999999995E-2</v>
      </c>
    </row>
    <row r="129" spans="1:13" x14ac:dyDescent="0.25">
      <c r="A129" t="s">
        <v>222</v>
      </c>
      <c r="B129">
        <f>4.2</f>
        <v>4.2</v>
      </c>
      <c r="C129">
        <f>0.9+0.4</f>
        <v>1.3</v>
      </c>
      <c r="D129">
        <f>0.4+8.1</f>
        <v>8.5</v>
      </c>
      <c r="E129" s="287">
        <f t="shared" si="5"/>
        <v>0.3</v>
      </c>
      <c r="F129" s="287">
        <f t="shared" si="5"/>
        <v>9.285714285714286E-2</v>
      </c>
      <c r="G129" s="287">
        <f t="shared" si="5"/>
        <v>0.6071428571428571</v>
      </c>
      <c r="H129" s="468">
        <f>'Green+Social Interface'!$Z$71</f>
        <v>0.32</v>
      </c>
      <c r="I129">
        <f>0.0417*3.6</f>
        <v>0.15012</v>
      </c>
      <c r="J129">
        <f t="shared" si="6"/>
        <v>0.27138888888888885</v>
      </c>
      <c r="K129">
        <f t="shared" si="7"/>
        <v>4.3201209633869746E-3</v>
      </c>
      <c r="L129">
        <f t="shared" si="8"/>
        <v>0.18551319436944236</v>
      </c>
      <c r="M129">
        <v>3.7000000000000002E-3</v>
      </c>
    </row>
    <row r="130" spans="1:13" x14ac:dyDescent="0.25">
      <c r="A130" t="s">
        <v>164</v>
      </c>
      <c r="B130">
        <v>0.1</v>
      </c>
      <c r="C130">
        <f>0.4</f>
        <v>0.4</v>
      </c>
      <c r="D130">
        <f>0.4+2.8</f>
        <v>3.1999999999999997</v>
      </c>
      <c r="E130" s="287">
        <f t="shared" si="5"/>
        <v>2.7027027027027032E-2</v>
      </c>
      <c r="F130" s="287">
        <f t="shared" si="5"/>
        <v>0.10810810810810813</v>
      </c>
      <c r="G130" s="287">
        <f t="shared" si="5"/>
        <v>0.8648648648648648</v>
      </c>
      <c r="H130" s="468">
        <f>'Green+Social Interface'!$Z$71</f>
        <v>0.32</v>
      </c>
      <c r="I130" s="117">
        <v>0.6</v>
      </c>
      <c r="J130">
        <f t="shared" si="6"/>
        <v>0.27138888888888885</v>
      </c>
      <c r="K130">
        <f t="shared" si="7"/>
        <v>4.3201209633869746E-3</v>
      </c>
      <c r="L130">
        <f t="shared" si="8"/>
        <v>0.18551319436944236</v>
      </c>
      <c r="M130">
        <v>0.18590000000000001</v>
      </c>
    </row>
    <row r="131" spans="1:13" ht="270" x14ac:dyDescent="0.25">
      <c r="A131" t="s">
        <v>872</v>
      </c>
      <c r="H131" s="146" t="s">
        <v>873</v>
      </c>
      <c r="J131" s="146" t="s">
        <v>874</v>
      </c>
      <c r="K131" s="146" t="s">
        <v>875</v>
      </c>
      <c r="L131" s="146" t="s">
        <v>876</v>
      </c>
      <c r="M131" s="146" t="s">
        <v>877</v>
      </c>
    </row>
    <row r="133" spans="1:13" x14ac:dyDescent="0.25">
      <c r="A133" t="s">
        <v>881</v>
      </c>
      <c r="B133" s="289">
        <v>3</v>
      </c>
      <c r="C133" t="s">
        <v>882</v>
      </c>
      <c r="K133" t="s">
        <v>878</v>
      </c>
      <c r="M133" t="s">
        <v>879</v>
      </c>
    </row>
    <row r="135" spans="1:13" x14ac:dyDescent="0.25">
      <c r="A135" t="s">
        <v>883</v>
      </c>
      <c r="B135" t="s">
        <v>884</v>
      </c>
      <c r="C135" t="s">
        <v>885</v>
      </c>
    </row>
    <row r="136" spans="1:13" x14ac:dyDescent="0.25">
      <c r="A136" t="s">
        <v>273</v>
      </c>
      <c r="B136">
        <f>VLOOKUP(C136,$A$144:$B$164,2,FALSE)</f>
        <v>4.75</v>
      </c>
      <c r="C136" s="289">
        <v>3</v>
      </c>
      <c r="D136" t="s">
        <v>886</v>
      </c>
    </row>
    <row r="137" spans="1:13" x14ac:dyDescent="0.25">
      <c r="A137" t="s">
        <v>887</v>
      </c>
      <c r="B137">
        <f>VLOOKUP(C137,$A$144:$B$164,2,FALSE)</f>
        <v>5.25</v>
      </c>
      <c r="C137" s="289">
        <v>3.5</v>
      </c>
      <c r="D137" t="s">
        <v>888</v>
      </c>
    </row>
    <row r="138" spans="1:13" x14ac:dyDescent="0.25">
      <c r="C138" s="288" t="s">
        <v>889</v>
      </c>
    </row>
    <row r="139" spans="1:13" x14ac:dyDescent="0.25">
      <c r="B139" t="s">
        <v>890</v>
      </c>
    </row>
    <row r="140" spans="1:13" x14ac:dyDescent="0.25">
      <c r="A140" t="s">
        <v>891</v>
      </c>
      <c r="B140">
        <f>0.73</f>
        <v>0.73</v>
      </c>
      <c r="C140" t="s">
        <v>892</v>
      </c>
    </row>
    <row r="141" spans="1:13" x14ac:dyDescent="0.25">
      <c r="A141" t="s">
        <v>893</v>
      </c>
      <c r="B141">
        <f>AVERAGE(0.7,0.83)</f>
        <v>0.7649999999999999</v>
      </c>
      <c r="C141" t="s">
        <v>894</v>
      </c>
    </row>
    <row r="143" spans="1:13" x14ac:dyDescent="0.25">
      <c r="A143" t="s">
        <v>895</v>
      </c>
      <c r="B143" t="s">
        <v>884</v>
      </c>
    </row>
    <row r="144" spans="1:13" x14ac:dyDescent="0.25">
      <c r="A144">
        <v>0</v>
      </c>
      <c r="B144">
        <f>B145-0.5</f>
        <v>1.75</v>
      </c>
    </row>
    <row r="145" spans="1:2" x14ac:dyDescent="0.25">
      <c r="A145">
        <f>A144+0.5</f>
        <v>0.5</v>
      </c>
      <c r="B145">
        <f>2.25</f>
        <v>2.25</v>
      </c>
    </row>
    <row r="146" spans="1:2" x14ac:dyDescent="0.25">
      <c r="A146">
        <f t="shared" ref="A146:B161" si="9">A145+0.5</f>
        <v>1</v>
      </c>
      <c r="B146">
        <f>B145+0.5</f>
        <v>2.75</v>
      </c>
    </row>
    <row r="147" spans="1:2" x14ac:dyDescent="0.25">
      <c r="A147">
        <f t="shared" si="9"/>
        <v>1.5</v>
      </c>
      <c r="B147">
        <f t="shared" si="9"/>
        <v>3.25</v>
      </c>
    </row>
    <row r="148" spans="1:2" x14ac:dyDescent="0.25">
      <c r="A148">
        <f t="shared" si="9"/>
        <v>2</v>
      </c>
      <c r="B148">
        <f t="shared" si="9"/>
        <v>3.75</v>
      </c>
    </row>
    <row r="149" spans="1:2" x14ac:dyDescent="0.25">
      <c r="A149">
        <f t="shared" si="9"/>
        <v>2.5</v>
      </c>
      <c r="B149">
        <f t="shared" si="9"/>
        <v>4.25</v>
      </c>
    </row>
    <row r="150" spans="1:2" x14ac:dyDescent="0.25">
      <c r="A150">
        <f t="shared" si="9"/>
        <v>3</v>
      </c>
      <c r="B150">
        <f t="shared" si="9"/>
        <v>4.75</v>
      </c>
    </row>
    <row r="151" spans="1:2" x14ac:dyDescent="0.25">
      <c r="A151">
        <f t="shared" si="9"/>
        <v>3.5</v>
      </c>
      <c r="B151">
        <f t="shared" si="9"/>
        <v>5.25</v>
      </c>
    </row>
    <row r="152" spans="1:2" x14ac:dyDescent="0.25">
      <c r="A152">
        <f t="shared" si="9"/>
        <v>4</v>
      </c>
      <c r="B152">
        <f t="shared" si="9"/>
        <v>5.75</v>
      </c>
    </row>
    <row r="153" spans="1:2" x14ac:dyDescent="0.25">
      <c r="A153">
        <f t="shared" si="9"/>
        <v>4.5</v>
      </c>
      <c r="B153">
        <f t="shared" si="9"/>
        <v>6.25</v>
      </c>
    </row>
    <row r="154" spans="1:2" x14ac:dyDescent="0.25">
      <c r="A154">
        <f t="shared" si="9"/>
        <v>5</v>
      </c>
      <c r="B154">
        <f t="shared" si="9"/>
        <v>6.75</v>
      </c>
    </row>
    <row r="155" spans="1:2" x14ac:dyDescent="0.25">
      <c r="A155">
        <f t="shared" si="9"/>
        <v>5.5</v>
      </c>
      <c r="B155">
        <f t="shared" si="9"/>
        <v>7.25</v>
      </c>
    </row>
    <row r="156" spans="1:2" x14ac:dyDescent="0.25">
      <c r="A156">
        <f t="shared" si="9"/>
        <v>6</v>
      </c>
      <c r="B156">
        <f t="shared" si="9"/>
        <v>7.75</v>
      </c>
    </row>
    <row r="157" spans="1:2" x14ac:dyDescent="0.25">
      <c r="A157">
        <f t="shared" si="9"/>
        <v>6.5</v>
      </c>
      <c r="B157">
        <f t="shared" si="9"/>
        <v>8.25</v>
      </c>
    </row>
    <row r="158" spans="1:2" x14ac:dyDescent="0.25">
      <c r="A158">
        <f t="shared" si="9"/>
        <v>7</v>
      </c>
      <c r="B158">
        <f t="shared" si="9"/>
        <v>8.75</v>
      </c>
    </row>
    <row r="159" spans="1:2" x14ac:dyDescent="0.25">
      <c r="A159">
        <f t="shared" si="9"/>
        <v>7.5</v>
      </c>
      <c r="B159">
        <f t="shared" si="9"/>
        <v>9.25</v>
      </c>
    </row>
    <row r="160" spans="1:2" x14ac:dyDescent="0.25">
      <c r="A160">
        <f t="shared" si="9"/>
        <v>8</v>
      </c>
      <c r="B160">
        <f t="shared" si="9"/>
        <v>9.75</v>
      </c>
    </row>
    <row r="161" spans="1:2" x14ac:dyDescent="0.25">
      <c r="A161">
        <f t="shared" si="9"/>
        <v>8.5</v>
      </c>
      <c r="B161">
        <f t="shared" si="9"/>
        <v>10.25</v>
      </c>
    </row>
    <row r="162" spans="1:2" x14ac:dyDescent="0.25">
      <c r="A162">
        <f t="shared" ref="A162:B164" si="10">A161+0.5</f>
        <v>9</v>
      </c>
      <c r="B162">
        <f t="shared" si="10"/>
        <v>10.75</v>
      </c>
    </row>
    <row r="163" spans="1:2" x14ac:dyDescent="0.25">
      <c r="A163">
        <f t="shared" si="10"/>
        <v>9.5</v>
      </c>
      <c r="B163">
        <f t="shared" si="10"/>
        <v>11.25</v>
      </c>
    </row>
    <row r="164" spans="1:2" x14ac:dyDescent="0.25">
      <c r="A164">
        <f t="shared" si="10"/>
        <v>10</v>
      </c>
      <c r="B164">
        <f t="shared" si="10"/>
        <v>11.75</v>
      </c>
    </row>
  </sheetData>
  <sheetProtection algorithmName="SHA-512" hashValue="0cMBDQAEmyJMzx5dAUncayhUiqD87iWc/eWBAPhc+dwuLiatIhRPUNsFLeKrHe7sJRvlB5jDfxt6AdnVVODpkg==" saltValue="CbQDDrJUXDHmm+SeoDiJpg==" spinCount="100000" sheet="1" selectLockedCells="1" selectUnlockedCells="1"/>
  <mergeCells count="22">
    <mergeCell ref="I26:M29"/>
    <mergeCell ref="O36:T37"/>
    <mergeCell ref="B48:C48"/>
    <mergeCell ref="D48:E48"/>
    <mergeCell ref="F48:G48"/>
    <mergeCell ref="H48:I48"/>
    <mergeCell ref="J48:K48"/>
    <mergeCell ref="L48:M48"/>
    <mergeCell ref="N48:O48"/>
    <mergeCell ref="P48:Q48"/>
    <mergeCell ref="R48:S48"/>
    <mergeCell ref="T48:U48"/>
    <mergeCell ref="V48:W48"/>
    <mergeCell ref="X48:Y48"/>
    <mergeCell ref="Z48:AA48"/>
    <mergeCell ref="AB48:AC48"/>
    <mergeCell ref="AD48:AE48"/>
    <mergeCell ref="AF48:AG48"/>
    <mergeCell ref="AH48:AI48"/>
    <mergeCell ref="AJ48:AK48"/>
    <mergeCell ref="AL48:AM48"/>
    <mergeCell ref="AN48:AO48"/>
  </mergeCells>
  <hyperlinks>
    <hyperlink ref="C138" r:id="rId1" display="https://ahd.csiro.au/dashboards/fixtures-and-appliances/air-conditioning/" xr:uid="{00000000-0004-0000-0900-000000000000}"/>
  </hyperlinks>
  <pageMargins left="0.7" right="0.7" top="0.75" bottom="0.75" header="0.3" footer="0.3"/>
  <pageSetup paperSize="9" orientation="portrait" horizontalDpi="300" verticalDpi="300"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tint="0.79998168889431442"/>
  </sheetPr>
  <dimension ref="A1:BO228"/>
  <sheetViews>
    <sheetView topLeftCell="A100" zoomScale="90" zoomScaleNormal="90" workbookViewId="0">
      <selection activeCell="P114" sqref="P114"/>
    </sheetView>
  </sheetViews>
  <sheetFormatPr defaultColWidth="8.85546875" defaultRowHeight="15" x14ac:dyDescent="0.25"/>
  <cols>
    <col min="2" max="2" width="37" bestFit="1" customWidth="1"/>
    <col min="6" max="6" width="14" customWidth="1"/>
    <col min="19" max="19" width="9.140625" style="117"/>
    <col min="24" max="24" width="9.140625" style="117"/>
    <col min="29" max="30" width="11.140625" customWidth="1"/>
    <col min="49" max="49" width="32.85546875" bestFit="1" customWidth="1"/>
    <col min="50" max="50" width="3.140625" customWidth="1"/>
    <col min="51" max="51" width="31.85546875" bestFit="1" customWidth="1"/>
    <col min="52" max="52" width="3.42578125" customWidth="1"/>
    <col min="53" max="53" width="31.85546875" bestFit="1" customWidth="1"/>
    <col min="54" max="54" width="3.42578125" customWidth="1"/>
    <col min="55" max="55" width="31.85546875" customWidth="1"/>
    <col min="56" max="56" width="3.42578125" customWidth="1"/>
    <col min="57" max="57" width="31.85546875" bestFit="1" customWidth="1"/>
    <col min="58" max="58" width="3.42578125" customWidth="1"/>
    <col min="59" max="59" width="32" bestFit="1" customWidth="1"/>
    <col min="60" max="60" width="3.42578125" customWidth="1"/>
    <col min="61" max="61" width="31.140625" bestFit="1" customWidth="1"/>
    <col min="62" max="62" width="3.42578125" customWidth="1"/>
    <col min="63" max="63" width="32" bestFit="1" customWidth="1"/>
  </cols>
  <sheetData>
    <row r="1" spans="1:67" ht="14.25" customHeight="1" x14ac:dyDescent="0.25">
      <c r="A1" s="117" t="s">
        <v>1003</v>
      </c>
      <c r="B1" s="117"/>
      <c r="C1" s="117"/>
      <c r="D1" s="117"/>
      <c r="E1" s="117"/>
      <c r="H1" s="606" t="s">
        <v>70</v>
      </c>
      <c r="I1" s="606"/>
      <c r="J1" s="606"/>
      <c r="K1" s="606"/>
      <c r="L1" s="606"/>
      <c r="M1" s="606"/>
      <c r="N1" s="606"/>
      <c r="O1" s="606"/>
      <c r="P1" s="606"/>
      <c r="Q1" s="606"/>
      <c r="R1" s="606"/>
      <c r="S1" s="606" t="s">
        <v>109</v>
      </c>
      <c r="T1" s="606"/>
      <c r="U1" s="606"/>
      <c r="V1" s="606"/>
      <c r="W1" s="606"/>
      <c r="X1" s="606"/>
      <c r="Y1" s="606"/>
      <c r="Z1" s="606"/>
      <c r="AA1" s="606"/>
      <c r="AB1" s="283"/>
      <c r="AE1" s="283"/>
      <c r="AF1" s="283"/>
      <c r="AG1" s="283"/>
      <c r="AH1" s="605" t="s">
        <v>900</v>
      </c>
      <c r="AI1" s="605"/>
      <c r="AJ1" s="605" t="s">
        <v>902</v>
      </c>
      <c r="AK1" s="605"/>
      <c r="AL1" s="605"/>
      <c r="AM1" s="605"/>
      <c r="AN1" s="605" t="s">
        <v>907</v>
      </c>
      <c r="AO1" s="605"/>
      <c r="AP1" s="605"/>
      <c r="AQ1" s="605"/>
      <c r="AR1" s="605" t="s">
        <v>909</v>
      </c>
      <c r="AS1" s="605"/>
      <c r="AT1" s="605"/>
      <c r="AU1" s="605"/>
    </row>
    <row r="2" spans="1:67" x14ac:dyDescent="0.25">
      <c r="A2" t="s">
        <v>298</v>
      </c>
      <c r="B2" t="s">
        <v>1004</v>
      </c>
      <c r="C2" t="s">
        <v>299</v>
      </c>
      <c r="D2" t="s">
        <v>300</v>
      </c>
      <c r="E2" t="s">
        <v>301</v>
      </c>
      <c r="F2" t="s">
        <v>89</v>
      </c>
      <c r="G2" t="s">
        <v>12</v>
      </c>
      <c r="H2" s="606" t="s">
        <v>135</v>
      </c>
      <c r="I2" s="606"/>
      <c r="J2" s="606"/>
      <c r="K2" s="606"/>
      <c r="L2" s="606"/>
      <c r="M2" s="606"/>
      <c r="N2" s="606" t="s">
        <v>175</v>
      </c>
      <c r="O2" s="606"/>
      <c r="P2" s="606"/>
      <c r="Q2" s="606"/>
      <c r="R2" s="606"/>
      <c r="S2" s="606" t="s">
        <v>224</v>
      </c>
      <c r="T2" s="606"/>
      <c r="U2" s="606"/>
      <c r="V2" s="606"/>
      <c r="W2" s="606"/>
      <c r="X2" s="606" t="s">
        <v>841</v>
      </c>
      <c r="Y2" s="606"/>
      <c r="Z2" s="606"/>
      <c r="AA2" s="606"/>
      <c r="AB2" s="606"/>
      <c r="AC2" t="s">
        <v>857</v>
      </c>
      <c r="AD2" t="s">
        <v>12</v>
      </c>
      <c r="AE2" s="606" t="s">
        <v>896</v>
      </c>
      <c r="AF2" s="606"/>
      <c r="AG2" s="606"/>
      <c r="AH2" s="605"/>
      <c r="AI2" s="605"/>
      <c r="AJ2" s="605"/>
      <c r="AK2" s="605"/>
      <c r="AL2" s="605"/>
      <c r="AM2" s="605"/>
      <c r="AN2" s="605"/>
      <c r="AO2" s="605"/>
      <c r="AP2" s="605"/>
      <c r="AQ2" s="605"/>
      <c r="AR2" s="605"/>
      <c r="AS2" s="605"/>
      <c r="AT2" s="605"/>
      <c r="AU2" s="605"/>
      <c r="AW2" t="s">
        <v>835</v>
      </c>
      <c r="AY2" t="s">
        <v>835</v>
      </c>
      <c r="BA2" t="s">
        <v>835</v>
      </c>
      <c r="BC2" t="s">
        <v>835</v>
      </c>
      <c r="BE2" t="s">
        <v>835</v>
      </c>
      <c r="BG2" t="s">
        <v>835</v>
      </c>
      <c r="BI2" t="s">
        <v>835</v>
      </c>
      <c r="BK2" t="s">
        <v>835</v>
      </c>
      <c r="BM2" t="s">
        <v>835</v>
      </c>
      <c r="BO2" t="s">
        <v>835</v>
      </c>
    </row>
    <row r="3" spans="1:67" x14ac:dyDescent="0.25">
      <c r="H3" t="s">
        <v>6</v>
      </c>
      <c r="I3" t="s">
        <v>7</v>
      </c>
      <c r="J3" t="s">
        <v>8</v>
      </c>
      <c r="K3" t="s">
        <v>9</v>
      </c>
      <c r="L3" t="s">
        <v>11</v>
      </c>
      <c r="M3" t="s">
        <v>174</v>
      </c>
      <c r="N3" t="s">
        <v>10</v>
      </c>
      <c r="O3" t="s">
        <v>6</v>
      </c>
      <c r="P3" t="s">
        <v>7</v>
      </c>
      <c r="Q3" t="s">
        <v>8</v>
      </c>
      <c r="R3" t="s">
        <v>9</v>
      </c>
      <c r="S3" s="117" t="s">
        <v>842</v>
      </c>
      <c r="T3" t="s">
        <v>7</v>
      </c>
      <c r="U3" t="s">
        <v>8</v>
      </c>
      <c r="V3" t="s">
        <v>9</v>
      </c>
      <c r="W3" t="s">
        <v>11</v>
      </c>
      <c r="X3" s="117" t="s">
        <v>842</v>
      </c>
      <c r="Y3" t="s">
        <v>7</v>
      </c>
      <c r="Z3" t="s">
        <v>8</v>
      </c>
      <c r="AA3" t="s">
        <v>9</v>
      </c>
      <c r="AB3" t="s">
        <v>11</v>
      </c>
      <c r="AE3" t="s">
        <v>897</v>
      </c>
      <c r="AF3" t="s">
        <v>898</v>
      </c>
      <c r="AG3" t="s">
        <v>899</v>
      </c>
      <c r="AH3" t="s">
        <v>901</v>
      </c>
      <c r="AI3" t="s">
        <v>273</v>
      </c>
      <c r="AJ3" t="s">
        <v>903</v>
      </c>
      <c r="AK3" t="s">
        <v>904</v>
      </c>
      <c r="AL3" t="s">
        <v>905</v>
      </c>
      <c r="AM3" t="s">
        <v>906</v>
      </c>
      <c r="AN3" t="s">
        <v>860</v>
      </c>
      <c r="AO3" t="s">
        <v>861</v>
      </c>
      <c r="AP3" t="s">
        <v>908</v>
      </c>
      <c r="AQ3" t="s">
        <v>23</v>
      </c>
      <c r="AR3" t="s">
        <v>860</v>
      </c>
      <c r="AS3" t="s">
        <v>861</v>
      </c>
      <c r="AT3" t="s">
        <v>908</v>
      </c>
      <c r="AU3" t="s">
        <v>23</v>
      </c>
      <c r="AW3" t="s">
        <v>302</v>
      </c>
      <c r="AY3" t="s">
        <v>336</v>
      </c>
      <c r="BA3" t="s">
        <v>354</v>
      </c>
      <c r="BC3" t="s">
        <v>371</v>
      </c>
      <c r="BE3" t="s">
        <v>380</v>
      </c>
      <c r="BG3" t="s">
        <v>391</v>
      </c>
      <c r="BI3" t="s">
        <v>395</v>
      </c>
      <c r="BK3" t="s">
        <v>398</v>
      </c>
      <c r="BM3" t="s">
        <v>156</v>
      </c>
    </row>
    <row r="4" spans="1:67" x14ac:dyDescent="0.25">
      <c r="A4">
        <v>1000</v>
      </c>
      <c r="B4" t="s">
        <v>302</v>
      </c>
      <c r="C4">
        <v>786334.68079999904</v>
      </c>
      <c r="D4">
        <v>1022386</v>
      </c>
      <c r="E4">
        <v>1.3001919220450098</v>
      </c>
      <c r="F4" t="s">
        <v>172</v>
      </c>
      <c r="G4" t="s">
        <v>163</v>
      </c>
      <c r="H4">
        <f>VLOOKUP(CONCATENATE($G4,"-",$F4,"-",$H$2),'Look-ups'!$O$3:$S$34,5,FALSE)*VLOOKUP(CONCATENATE($F4,"-",$H$2,"-",H$3),'Look-ups'!$I$3:$M$24,5,FALSE)</f>
        <v>316</v>
      </c>
      <c r="I4">
        <f>VLOOKUP(CONCATENATE($G4,"-",$F4,"-",$H$2),'Look-ups'!$O$3:$S$34,5,FALSE)*VLOOKUP(CONCATENATE($F4,"-",$H$2,"-",I$3),'Look-ups'!$I$3:$M$24,5,FALSE)</f>
        <v>474</v>
      </c>
      <c r="J4">
        <f>VLOOKUP(CONCATENATE($G4,"-",$F4,"-",$H$2),'Look-ups'!$O$3:$S$34,5,FALSE)*VLOOKUP(CONCATENATE($F4,"-",$H$2,"-",J$3),'Look-ups'!$I$3:$M$24,5,FALSE)</f>
        <v>553</v>
      </c>
      <c r="K4">
        <f>VLOOKUP(CONCATENATE($G4,"-",$F4,"-",$H$2),'Look-ups'!$O$3:$S$34,5,FALSE)*VLOOKUP(CONCATENATE($F4,"-",$H$2,"-",K$3),'Look-ups'!$I$3:$M$24,5,FALSE)</f>
        <v>711</v>
      </c>
      <c r="L4">
        <f>VLOOKUP(CONCATENATE($G4,"-",$F4,"-",$H$2),'Look-ups'!$O$3:$S$34,5,FALSE)*VLOOKUP(CONCATENATE($F4,"-",$H$2,"-",L$3),'Look-ups'!$I$3:$M$24,5,FALSE)</f>
        <v>790</v>
      </c>
      <c r="M4">
        <f>VLOOKUP(CONCATENATE($G4,"-",$F4,"-",$H$2),'Look-ups'!$O$3:$S$34,5,FALSE)*VLOOKUP(CONCATENATE($F4,"-",$H$2,"-",M$3),'Look-ups'!$I$3:$M$24,5,FALSE)</f>
        <v>869</v>
      </c>
      <c r="N4">
        <f>VLOOKUP(CONCATENATE($G4,"-",$F4,"-",$N$2),'Look-ups'!$O$3:$S$34,5,FALSE)*VLOOKUP(CONCATENATE($F4,"-",$N$2,"-",N$3),'Look-ups'!$I$3:$M$24,5,FALSE)</f>
        <v>315</v>
      </c>
      <c r="O4">
        <f>VLOOKUP(CONCATENATE($G4,"-",$F4,"-",$N$2),'Look-ups'!$O$3:$S$34,5,FALSE)*VLOOKUP(CONCATENATE($F4,"-",$N$2,"-",O$3),'Look-ups'!$I$3:$M$24,5,FALSE)</f>
        <v>315</v>
      </c>
      <c r="P4">
        <f>VLOOKUP(CONCATENATE($G4,"-",$F4,"-",$N$2),'Look-ups'!$O$3:$S$34,5,FALSE)*VLOOKUP(CONCATENATE($F4,"-",$N$2,"-",P$3),'Look-ups'!$I$3:$M$24,5,FALSE)</f>
        <v>420</v>
      </c>
      <c r="Q4">
        <f>VLOOKUP(CONCATENATE($G4,"-",$F4,"-",$N$2),'Look-ups'!$O$3:$S$34,5,FALSE)*VLOOKUP(CONCATENATE($F4,"-",$N$2,"-",Q$3),'Look-ups'!$I$3:$M$24,5,FALSE)</f>
        <v>540</v>
      </c>
      <c r="R4">
        <f>VLOOKUP(CONCATENATE($G4,"-",$F4,"-",$N$2),'Look-ups'!$O$3:$S$34,5,FALSE)*VLOOKUP(CONCATENATE($F4,"-",$N$2,"-",R$3),'Look-ups'!$I$3:$M$24,5,FALSE)</f>
        <v>615</v>
      </c>
      <c r="S4" s="117">
        <f>VLOOKUP(CONCATENATE($G4,"-",$F4,"-Lone Person"),'Look-ups'!$Y$4:$AG$35,5,FALSE)</f>
        <v>107</v>
      </c>
      <c r="T4">
        <f>VLOOKUP(CONCATENATE($G4,"-",$F4,"-Lone Person"),'Look-ups'!$Y$4:$AG$35,6,FALSE)</f>
        <v>153.01000000000002</v>
      </c>
      <c r="U4">
        <f>VLOOKUP(CONCATENATE($G4,"-",$F4,"-Lone Person"),'Look-ups'!$Y$4:$AG$35,7,FALSE)</f>
        <v>182.97</v>
      </c>
      <c r="V4">
        <f>VLOOKUP(CONCATENATE($G4,"-",$F4,"-Lone Person"),'Look-ups'!$Y$4:$AG$35,8,FALSE)</f>
        <v>223.63000000000002</v>
      </c>
      <c r="W4">
        <f>VLOOKUP(CONCATENATE($G4,"-",$F4,"-Lone Person"),'Look-ups'!$Y$4:$AG$35,9,FALSE)</f>
        <v>212.93</v>
      </c>
      <c r="X4" s="117">
        <f>VLOOKUP(CONCATENATE($G4,"-",$F4,"-Couple Only"),'Look-ups'!$Y$4:$AG$35,5,FALSE)</f>
        <v>173.34</v>
      </c>
      <c r="Y4">
        <f>VLOOKUP(CONCATENATE($G4,"-",$F4,"-Couple Only"),'Look-ups'!$Y$4:$AG$35,6,FALSE)</f>
        <v>163.71</v>
      </c>
      <c r="Z4">
        <f>VLOOKUP(CONCATENATE($G4,"-",$F4,"-Couple Only"),'Look-ups'!$Y$4:$AG$35,7,FALSE)</f>
        <v>185.11</v>
      </c>
      <c r="AA4">
        <f>VLOOKUP(CONCATENATE($G4,"-",$F4,"-Couple Only"),'Look-ups'!$Y$4:$AG$35,8,FALSE)</f>
        <v>204.37</v>
      </c>
      <c r="AB4">
        <f>VLOOKUP(CONCATENATE($G4,"-",$F4,"-Couple Only"),'Look-ups'!$Y$4:$AG$35,9,FALSE)</f>
        <v>256.8</v>
      </c>
      <c r="AC4">
        <v>18</v>
      </c>
      <c r="AD4" t="s">
        <v>163</v>
      </c>
      <c r="AE4" s="287">
        <f>VLOOKUP($AD4,'Look-ups'!$A$122:$G$130,5,FALSE)</f>
        <v>9.1436865021770675E-2</v>
      </c>
      <c r="AF4" s="287">
        <f>VLOOKUP($AD4,'Look-ups'!$A$122:$G$130,6,FALSE)</f>
        <v>0.2815674891146589</v>
      </c>
      <c r="AG4" s="287">
        <f>VLOOKUP($AD4,'Look-ups'!$A$122:$G$130,7,FALSE)</f>
        <v>0.62699564586357037</v>
      </c>
      <c r="AH4" s="291">
        <f>VLOOKUP($AC4,'Look-ups'!$A$50:$AO$118,'Look-ups'!$B$133*4,FALSE)*0.277778</f>
        <v>33.381647555082509</v>
      </c>
      <c r="AI4" s="291">
        <f>VLOOKUP($AC4,'Look-ups'!$A$50:$AO$118,'Look-ups'!$B$133*4+1,FALSE)*0.277778</f>
        <v>20.785062444917497</v>
      </c>
      <c r="AJ4" s="291">
        <f>AE4*$AH4/'Look-ups'!$B$141</f>
        <v>3.9899518976449686</v>
      </c>
      <c r="AK4" s="291">
        <f>AF4*$AH4/'Look-ups'!$B$140</f>
        <v>12.875598198075444</v>
      </c>
      <c r="AL4" s="291">
        <f>AG4*$AH4/'Look-ups'!$B$137</f>
        <v>3.9866947940550537</v>
      </c>
      <c r="AM4" s="291">
        <f>AI4/'Look-ups'!$B$136</f>
        <v>4.3758026199826308</v>
      </c>
      <c r="AN4" s="290">
        <f>AJ4*VLOOKUP($AD4,'Look-ups'!$A$123:$M$130,10,FALSE)</f>
        <v>1.0828286122219817</v>
      </c>
      <c r="AO4" s="290">
        <f>AK4*VLOOKUP($AD4,'Look-ups'!$A$123:$M$130,9,FALSE)</f>
        <v>1.9859580172675528</v>
      </c>
      <c r="AP4" s="290">
        <f>(AL4+AM4)*VLOOKUP($AD4,'Look-ups'!$A$123:$M$130,8,FALSE)</f>
        <v>2.6759991724920589</v>
      </c>
      <c r="AQ4" s="290">
        <f>SUM(AN4:AP4)</f>
        <v>5.7447858019815934</v>
      </c>
      <c r="AR4" s="292">
        <f>AJ4*VLOOKUP($AD4,'Look-ups'!$A$123:$M$130,11,FALSE)</f>
        <v>1.723707483592167E-2</v>
      </c>
      <c r="AS4" s="292">
        <f>AK4*VLOOKUP($AD4,'Look-ups'!$A$123:$M$130,12,FALSE)</f>
        <v>2.3885933511424118</v>
      </c>
      <c r="AT4" s="292">
        <f>(AL4+AM4)*VLOOKUP($AD4,'Look-ups'!$A$123:$M$130,13,FALSE)</f>
        <v>2.1525068343733</v>
      </c>
      <c r="AU4" s="292">
        <f>SUM(AR4:AT4)</f>
        <v>4.5583372603516334</v>
      </c>
      <c r="AW4" t="s">
        <v>303</v>
      </c>
      <c r="AY4" t="s">
        <v>337</v>
      </c>
      <c r="BA4" t="s">
        <v>1010</v>
      </c>
      <c r="BC4" t="s">
        <v>372</v>
      </c>
      <c r="BE4" t="s">
        <v>381</v>
      </c>
      <c r="BG4" t="s">
        <v>1012</v>
      </c>
      <c r="BI4" t="s">
        <v>396</v>
      </c>
      <c r="BK4" t="s">
        <v>399</v>
      </c>
      <c r="BM4" t="s">
        <v>155</v>
      </c>
    </row>
    <row r="5" spans="1:67" x14ac:dyDescent="0.25">
      <c r="A5">
        <v>1001</v>
      </c>
      <c r="B5" t="s">
        <v>303</v>
      </c>
      <c r="C5">
        <v>628.25250000000005</v>
      </c>
      <c r="D5">
        <v>97793</v>
      </c>
      <c r="E5">
        <v>155.65875185534478</v>
      </c>
      <c r="F5" t="s">
        <v>172</v>
      </c>
      <c r="G5" t="s">
        <v>163</v>
      </c>
      <c r="H5">
        <f>VLOOKUP(CONCATENATE($G5,"-",$F5,"-",$H$2),'Look-ups'!$O$3:$S$34,5,FALSE)*VLOOKUP(CONCATENATE($F5,"-",$H$2,"-",H$3),'Look-ups'!$I$3:$M$24,5,FALSE)</f>
        <v>316</v>
      </c>
      <c r="I5">
        <f>VLOOKUP(CONCATENATE($G5,"-",$F5,"-",$H$2),'Look-ups'!$O$3:$S$34,5,FALSE)*VLOOKUP(CONCATENATE($F5,"-",$H$2,"-",I$3),'Look-ups'!$I$3:$M$24,5,FALSE)</f>
        <v>474</v>
      </c>
      <c r="J5">
        <f>VLOOKUP(CONCATENATE($G5,"-",$F5,"-",$H$2),'Look-ups'!$O$3:$S$34,5,FALSE)*VLOOKUP(CONCATENATE($F5,"-",$H$2,"-",J$3),'Look-ups'!$I$3:$M$24,5,FALSE)</f>
        <v>553</v>
      </c>
      <c r="K5">
        <f>VLOOKUP(CONCATENATE($G5,"-",$F5,"-",$H$2),'Look-ups'!$O$3:$S$34,5,FALSE)*VLOOKUP(CONCATENATE($F5,"-",$H$2,"-",K$3),'Look-ups'!$I$3:$M$24,5,FALSE)</f>
        <v>711</v>
      </c>
      <c r="L5">
        <f>VLOOKUP(CONCATENATE($G5,"-",$F5,"-",$H$2),'Look-ups'!$O$3:$S$34,5,FALSE)*VLOOKUP(CONCATENATE($F5,"-",$H$2,"-",L$3),'Look-ups'!$I$3:$M$24,5,FALSE)</f>
        <v>790</v>
      </c>
      <c r="M5">
        <f>VLOOKUP(CONCATENATE($G5,"-",$F5,"-",$H$2),'Look-ups'!$O$3:$S$34,5,FALSE)*VLOOKUP(CONCATENATE($F5,"-",$H$2,"-",M$3),'Look-ups'!$I$3:$M$24,5,FALSE)</f>
        <v>869</v>
      </c>
      <c r="N5">
        <f>VLOOKUP(CONCATENATE($G5,"-",$F5,"-",$N$2),'Look-ups'!$O$3:$S$34,5,FALSE)*VLOOKUP(CONCATENATE($F5,"-",$N$2,"-",N$3),'Look-ups'!$I$3:$M$24,5,FALSE)</f>
        <v>315</v>
      </c>
      <c r="O5">
        <f>VLOOKUP(CONCATENATE($G5,"-",$F5,"-",$N$2),'Look-ups'!$O$3:$S$34,5,FALSE)*VLOOKUP(CONCATENATE($F5,"-",$N$2,"-",O$3),'Look-ups'!$I$3:$M$24,5,FALSE)</f>
        <v>315</v>
      </c>
      <c r="P5">
        <f>VLOOKUP(CONCATENATE($G5,"-",$F5,"-",$N$2),'Look-ups'!$O$3:$S$34,5,FALSE)*VLOOKUP(CONCATENATE($F5,"-",$N$2,"-",P$3),'Look-ups'!$I$3:$M$24,5,FALSE)</f>
        <v>420</v>
      </c>
      <c r="Q5">
        <f>VLOOKUP(CONCATENATE($G5,"-",$F5,"-",$N$2),'Look-ups'!$O$3:$S$34,5,FALSE)*VLOOKUP(CONCATENATE($F5,"-",$N$2,"-",Q$3),'Look-ups'!$I$3:$M$24,5,FALSE)</f>
        <v>540</v>
      </c>
      <c r="R5">
        <f>VLOOKUP(CONCATENATE($G5,"-",$F5,"-",$N$2),'Look-ups'!$O$3:$S$34,5,FALSE)*VLOOKUP(CONCATENATE($F5,"-",$N$2,"-",R$3),'Look-ups'!$I$3:$M$24,5,FALSE)</f>
        <v>615</v>
      </c>
      <c r="S5" s="117">
        <f>VLOOKUP(CONCATENATE($G5,"-",$F5,"-Lone Person"),'Look-ups'!$Y$4:$AG$35,5,FALSE)</f>
        <v>107</v>
      </c>
      <c r="T5">
        <f>VLOOKUP(CONCATENATE($G5,"-",$F5,"-Lone Person"),'Look-ups'!$Y$4:$AG$35,6,FALSE)</f>
        <v>153.01000000000002</v>
      </c>
      <c r="U5">
        <f>VLOOKUP(CONCATENATE($G5,"-",$F5,"-Lone Person"),'Look-ups'!$Y$4:$AG$35,7,FALSE)</f>
        <v>182.97</v>
      </c>
      <c r="V5">
        <f>VLOOKUP(CONCATENATE($G5,"-",$F5,"-Lone Person"),'Look-ups'!$Y$4:$AG$35,8,FALSE)</f>
        <v>223.63000000000002</v>
      </c>
      <c r="W5">
        <f>VLOOKUP(CONCATENATE($G5,"-",$F5,"-Lone Person"),'Look-ups'!$Y$4:$AG$35,9,FALSE)</f>
        <v>212.93</v>
      </c>
      <c r="X5" s="117">
        <f>VLOOKUP(CONCATENATE($G5,"-",$F5,"-Couple Only"),'Look-ups'!$Y$4:$AG$35,5,FALSE)</f>
        <v>173.34</v>
      </c>
      <c r="Y5">
        <f>VLOOKUP(CONCATENATE($G5,"-",$F5,"-Couple Only"),'Look-ups'!$Y$4:$AG$35,6,FALSE)</f>
        <v>163.71</v>
      </c>
      <c r="Z5">
        <f>VLOOKUP(CONCATENATE($G5,"-",$F5,"-Couple Only"),'Look-ups'!$Y$4:$AG$35,7,FALSE)</f>
        <v>185.11</v>
      </c>
      <c r="AA5">
        <f>VLOOKUP(CONCATENATE($G5,"-",$F5,"-Couple Only"),'Look-ups'!$Y$4:$AG$35,8,FALSE)</f>
        <v>204.37</v>
      </c>
      <c r="AB5">
        <f>VLOOKUP(CONCATENATE($G5,"-",$F5,"-Couple Only"),'Look-ups'!$Y$4:$AG$35,9,FALSE)</f>
        <v>256.8</v>
      </c>
      <c r="AC5">
        <v>20</v>
      </c>
      <c r="AD5" t="s">
        <v>163</v>
      </c>
      <c r="AE5" s="287">
        <f>VLOOKUP($AD5,'Look-ups'!$A$122:$G$130,5,FALSE)</f>
        <v>9.1436865021770675E-2</v>
      </c>
      <c r="AF5" s="287">
        <f>VLOOKUP($AD5,'Look-ups'!$A$122:$G$130,6,FALSE)</f>
        <v>0.2815674891146589</v>
      </c>
      <c r="AG5" s="287">
        <f>VLOOKUP($AD5,'Look-ups'!$A$122:$G$130,7,FALSE)</f>
        <v>0.62699564586357037</v>
      </c>
      <c r="AH5" s="291">
        <f>VLOOKUP($AC5,'Look-ups'!$A$50:$AO$118,'Look-ups'!$B$133*4,FALSE)*0.277778</f>
        <v>64.301457091597655</v>
      </c>
      <c r="AI5" s="291">
        <f>VLOOKUP($AC5,'Look-ups'!$A$50:$AO$118,'Look-ups'!$B$133*4+1,FALSE)*0.277778</f>
        <v>27.643060908402347</v>
      </c>
      <c r="AJ5" s="291">
        <f>AE5*$AH5/'Look-ups'!$B$141</f>
        <v>7.6856518337092741</v>
      </c>
      <c r="AK5" s="291">
        <f>AF5*$AH5/'Look-ups'!$B$140</f>
        <v>24.801643588623467</v>
      </c>
      <c r="AL5" s="291">
        <f>AG5*$AH5/'Look-ups'!$B$137</f>
        <v>7.6793778322123671</v>
      </c>
      <c r="AM5" s="291">
        <f>AI5/'Look-ups'!$B$136</f>
        <v>5.8195917701899678</v>
      </c>
      <c r="AN5" s="290">
        <f>AJ5*VLOOKUP($AD5,'Look-ups'!$A$123:$M$130,10,FALSE)</f>
        <v>2.0858005115372111</v>
      </c>
      <c r="AO5" s="290">
        <f>AK5*VLOOKUP($AD5,'Look-ups'!$A$123:$M$130,9,FALSE)</f>
        <v>3.8254551103964611</v>
      </c>
      <c r="AP5" s="290">
        <f>(AL5+AM5)*VLOOKUP($AD5,'Look-ups'!$A$123:$M$130,8,FALSE)</f>
        <v>4.3196702727687475</v>
      </c>
      <c r="AQ5" s="290">
        <f t="shared" ref="AQ5:AQ68" si="0">SUM(AN5:AP5)</f>
        <v>10.23092589470242</v>
      </c>
      <c r="AR5" s="292">
        <f>AJ5*VLOOKUP($AD5,'Look-ups'!$A$123:$M$130,11,FALSE)</f>
        <v>3.3202945604100975E-2</v>
      </c>
      <c r="AS5" s="292">
        <f>AK5*VLOOKUP($AD5,'Look-ups'!$A$123:$M$130,12,FALSE)</f>
        <v>4.6010321277379393</v>
      </c>
      <c r="AT5" s="292">
        <f>(AL5+AM5)*VLOOKUP($AD5,'Look-ups'!$A$123:$M$130,13,FALSE)</f>
        <v>3.4746347756583611</v>
      </c>
      <c r="AU5" s="292">
        <f t="shared" ref="AU5:AU68" si="1">SUM(AR5:AT5)</f>
        <v>8.108869849000401</v>
      </c>
      <c r="AW5" t="s">
        <v>304</v>
      </c>
      <c r="AY5" t="s">
        <v>338</v>
      </c>
      <c r="BA5" t="s">
        <v>355</v>
      </c>
      <c r="BC5" t="s">
        <v>373</v>
      </c>
      <c r="BE5" t="s">
        <v>382</v>
      </c>
      <c r="BG5" t="s">
        <v>392</v>
      </c>
      <c r="BI5" t="s">
        <v>397</v>
      </c>
    </row>
    <row r="6" spans="1:67" x14ac:dyDescent="0.25">
      <c r="A6">
        <v>1002</v>
      </c>
      <c r="B6" t="s">
        <v>304</v>
      </c>
      <c r="C6">
        <v>274.59960000000001</v>
      </c>
      <c r="D6">
        <v>23967</v>
      </c>
      <c r="E6">
        <v>87.279806671240593</v>
      </c>
      <c r="F6" t="s">
        <v>172</v>
      </c>
      <c r="G6" t="s">
        <v>163</v>
      </c>
      <c r="H6">
        <f>VLOOKUP(CONCATENATE($G6,"-",$F6,"-",$H$2),'Look-ups'!$O$3:$S$34,5,FALSE)*VLOOKUP(CONCATENATE($F6,"-",$H$2,"-",H$3),'Look-ups'!$I$3:$M$24,5,FALSE)</f>
        <v>316</v>
      </c>
      <c r="I6">
        <f>VLOOKUP(CONCATENATE($G6,"-",$F6,"-",$H$2),'Look-ups'!$O$3:$S$34,5,FALSE)*VLOOKUP(CONCATENATE($F6,"-",$H$2,"-",I$3),'Look-ups'!$I$3:$M$24,5,FALSE)</f>
        <v>474</v>
      </c>
      <c r="J6">
        <f>VLOOKUP(CONCATENATE($G6,"-",$F6,"-",$H$2),'Look-ups'!$O$3:$S$34,5,FALSE)*VLOOKUP(CONCATENATE($F6,"-",$H$2,"-",J$3),'Look-ups'!$I$3:$M$24,5,FALSE)</f>
        <v>553</v>
      </c>
      <c r="K6">
        <f>VLOOKUP(CONCATENATE($G6,"-",$F6,"-",$H$2),'Look-ups'!$O$3:$S$34,5,FALSE)*VLOOKUP(CONCATENATE($F6,"-",$H$2,"-",K$3),'Look-ups'!$I$3:$M$24,5,FALSE)</f>
        <v>711</v>
      </c>
      <c r="L6">
        <f>VLOOKUP(CONCATENATE($G6,"-",$F6,"-",$H$2),'Look-ups'!$O$3:$S$34,5,FALSE)*VLOOKUP(CONCATENATE($F6,"-",$H$2,"-",L$3),'Look-ups'!$I$3:$M$24,5,FALSE)</f>
        <v>790</v>
      </c>
      <c r="M6">
        <f>VLOOKUP(CONCATENATE($G6,"-",$F6,"-",$H$2),'Look-ups'!$O$3:$S$34,5,FALSE)*VLOOKUP(CONCATENATE($F6,"-",$H$2,"-",M$3),'Look-ups'!$I$3:$M$24,5,FALSE)</f>
        <v>869</v>
      </c>
      <c r="N6">
        <f>VLOOKUP(CONCATENATE($G6,"-",$F6,"-",$N$2),'Look-ups'!$O$3:$S$34,5,FALSE)*VLOOKUP(CONCATENATE($F6,"-",$N$2,"-",N$3),'Look-ups'!$I$3:$M$24,5,FALSE)</f>
        <v>315</v>
      </c>
      <c r="O6">
        <f>VLOOKUP(CONCATENATE($G6,"-",$F6,"-",$N$2),'Look-ups'!$O$3:$S$34,5,FALSE)*VLOOKUP(CONCATENATE($F6,"-",$N$2,"-",O$3),'Look-ups'!$I$3:$M$24,5,FALSE)</f>
        <v>315</v>
      </c>
      <c r="P6">
        <f>VLOOKUP(CONCATENATE($G6,"-",$F6,"-",$N$2),'Look-ups'!$O$3:$S$34,5,FALSE)*VLOOKUP(CONCATENATE($F6,"-",$N$2,"-",P$3),'Look-ups'!$I$3:$M$24,5,FALSE)</f>
        <v>420</v>
      </c>
      <c r="Q6">
        <f>VLOOKUP(CONCATENATE($G6,"-",$F6,"-",$N$2),'Look-ups'!$O$3:$S$34,5,FALSE)*VLOOKUP(CONCATENATE($F6,"-",$N$2,"-",Q$3),'Look-ups'!$I$3:$M$24,5,FALSE)</f>
        <v>540</v>
      </c>
      <c r="R6">
        <f>VLOOKUP(CONCATENATE($G6,"-",$F6,"-",$N$2),'Look-ups'!$O$3:$S$34,5,FALSE)*VLOOKUP(CONCATENATE($F6,"-",$N$2,"-",R$3),'Look-ups'!$I$3:$M$24,5,FALSE)</f>
        <v>615</v>
      </c>
      <c r="S6" s="117">
        <f>VLOOKUP(CONCATENATE($G6,"-",$F6,"-Lone Person"),'Look-ups'!$Y$4:$AG$35,5,FALSE)</f>
        <v>107</v>
      </c>
      <c r="T6">
        <f>VLOOKUP(CONCATENATE($G6,"-",$F6,"-Lone Person"),'Look-ups'!$Y$4:$AG$35,6,FALSE)</f>
        <v>153.01000000000002</v>
      </c>
      <c r="U6">
        <f>VLOOKUP(CONCATENATE($G6,"-",$F6,"-Lone Person"),'Look-ups'!$Y$4:$AG$35,7,FALSE)</f>
        <v>182.97</v>
      </c>
      <c r="V6">
        <f>VLOOKUP(CONCATENATE($G6,"-",$F6,"-Lone Person"),'Look-ups'!$Y$4:$AG$35,8,FALSE)</f>
        <v>223.63000000000002</v>
      </c>
      <c r="W6">
        <f>VLOOKUP(CONCATENATE($G6,"-",$F6,"-Lone Person"),'Look-ups'!$Y$4:$AG$35,9,FALSE)</f>
        <v>212.93</v>
      </c>
      <c r="X6" s="117">
        <f>VLOOKUP(CONCATENATE($G6,"-",$F6,"-Couple Only"),'Look-ups'!$Y$4:$AG$35,5,FALSE)</f>
        <v>173.34</v>
      </c>
      <c r="Y6">
        <f>VLOOKUP(CONCATENATE($G6,"-",$F6,"-Couple Only"),'Look-ups'!$Y$4:$AG$35,6,FALSE)</f>
        <v>163.71</v>
      </c>
      <c r="Z6">
        <f>VLOOKUP(CONCATENATE($G6,"-",$F6,"-Couple Only"),'Look-ups'!$Y$4:$AG$35,7,FALSE)</f>
        <v>185.11</v>
      </c>
      <c r="AA6">
        <f>VLOOKUP(CONCATENATE($G6,"-",$F6,"-Couple Only"),'Look-ups'!$Y$4:$AG$35,8,FALSE)</f>
        <v>204.37</v>
      </c>
      <c r="AB6">
        <f>VLOOKUP(CONCATENATE($G6,"-",$F6,"-Couple Only"),'Look-ups'!$Y$4:$AG$35,9,FALSE)</f>
        <v>256.8</v>
      </c>
      <c r="AC6">
        <v>14</v>
      </c>
      <c r="AD6" t="s">
        <v>163</v>
      </c>
      <c r="AE6" s="287">
        <f>VLOOKUP($AD6,'Look-ups'!$A$122:$G$130,5,FALSE)</f>
        <v>9.1436865021770675E-2</v>
      </c>
      <c r="AF6" s="287">
        <f>VLOOKUP($AD6,'Look-ups'!$A$122:$G$130,6,FALSE)</f>
        <v>0.2815674891146589</v>
      </c>
      <c r="AG6" s="287">
        <f>VLOOKUP($AD6,'Look-ups'!$A$122:$G$130,7,FALSE)</f>
        <v>0.62699564586357037</v>
      </c>
      <c r="AH6" s="291">
        <f>VLOOKUP($AC6,'Look-ups'!$A$50:$AO$118,'Look-ups'!$B$133*4,FALSE)*0.277778</f>
        <v>102.2152329540214</v>
      </c>
      <c r="AI6" s="291">
        <f>VLOOKUP($AC6,'Look-ups'!$A$50:$AO$118,'Look-ups'!$B$133*4+1,FALSE)*0.277778</f>
        <v>8.6181890459786015</v>
      </c>
      <c r="AJ6" s="291">
        <f>AE6*$AH6/'Look-ups'!$B$141</f>
        <v>12.217307789262355</v>
      </c>
      <c r="AK6" s="291">
        <f>AF6*$AH6/'Look-ups'!$B$140</f>
        <v>39.425323961827047</v>
      </c>
      <c r="AL6" s="291">
        <f>AG6*$AH6/'Look-ups'!$B$137</f>
        <v>12.207334476781325</v>
      </c>
      <c r="AM6" s="291">
        <f>AI6/'Look-ups'!$B$136</f>
        <v>1.8143555886270739</v>
      </c>
      <c r="AN6" s="290">
        <f>AJ6*VLOOKUP($AD6,'Look-ups'!$A$123:$M$130,10,FALSE)</f>
        <v>3.3156415861414774</v>
      </c>
      <c r="AO6" s="290">
        <f>AK6*VLOOKUP($AD6,'Look-ups'!$A$123:$M$130,9,FALSE)</f>
        <v>6.0810408185201279</v>
      </c>
      <c r="AP6" s="290">
        <f>(AL6+AM6)*VLOOKUP($AD6,'Look-ups'!$A$123:$M$130,8,FALSE)</f>
        <v>4.4869408209306876</v>
      </c>
      <c r="AQ6" s="290">
        <f t="shared" si="0"/>
        <v>13.883623225592293</v>
      </c>
      <c r="AR6" s="292">
        <f>AJ6*VLOOKUP($AD6,'Look-ups'!$A$123:$M$130,11,FALSE)</f>
        <v>5.2780247496543274E-2</v>
      </c>
      <c r="AS6" s="292">
        <f>AK6*VLOOKUP($AD6,'Look-ups'!$A$123:$M$130,12,FALSE)</f>
        <v>7.3139177872086538</v>
      </c>
      <c r="AT6" s="292">
        <f>(AL6+AM6)*VLOOKUP($AD6,'Look-ups'!$A$123:$M$130,13,FALSE)</f>
        <v>3.6091830228361221</v>
      </c>
      <c r="AU6" s="292">
        <f t="shared" si="1"/>
        <v>10.975881057541319</v>
      </c>
      <c r="AW6" t="s">
        <v>305</v>
      </c>
      <c r="AY6" t="s">
        <v>196</v>
      </c>
      <c r="BA6" t="s">
        <v>356</v>
      </c>
      <c r="BC6" t="s">
        <v>374</v>
      </c>
      <c r="BE6" t="s">
        <v>383</v>
      </c>
      <c r="BG6" t="s">
        <v>393</v>
      </c>
    </row>
    <row r="7" spans="1:67" x14ac:dyDescent="0.25">
      <c r="A7">
        <v>1003</v>
      </c>
      <c r="B7" t="s">
        <v>305</v>
      </c>
      <c r="C7">
        <v>480.5548</v>
      </c>
      <c r="D7">
        <v>46190</v>
      </c>
      <c r="E7">
        <v>96.118070197197071</v>
      </c>
      <c r="F7" t="s">
        <v>172</v>
      </c>
      <c r="G7" t="s">
        <v>163</v>
      </c>
      <c r="H7">
        <f>VLOOKUP(CONCATENATE($G7,"-",$F7,"-",$H$2),'Look-ups'!$O$3:$S$34,5,FALSE)*VLOOKUP(CONCATENATE($F7,"-",$H$2,"-",H$3),'Look-ups'!$I$3:$M$24,5,FALSE)</f>
        <v>316</v>
      </c>
      <c r="I7">
        <f>VLOOKUP(CONCATENATE($G7,"-",$F7,"-",$H$2),'Look-ups'!$O$3:$S$34,5,FALSE)*VLOOKUP(CONCATENATE($F7,"-",$H$2,"-",I$3),'Look-ups'!$I$3:$M$24,5,FALSE)</f>
        <v>474</v>
      </c>
      <c r="J7">
        <f>VLOOKUP(CONCATENATE($G7,"-",$F7,"-",$H$2),'Look-ups'!$O$3:$S$34,5,FALSE)*VLOOKUP(CONCATENATE($F7,"-",$H$2,"-",J$3),'Look-ups'!$I$3:$M$24,5,FALSE)</f>
        <v>553</v>
      </c>
      <c r="K7">
        <f>VLOOKUP(CONCATENATE($G7,"-",$F7,"-",$H$2),'Look-ups'!$O$3:$S$34,5,FALSE)*VLOOKUP(CONCATENATE($F7,"-",$H$2,"-",K$3),'Look-ups'!$I$3:$M$24,5,FALSE)</f>
        <v>711</v>
      </c>
      <c r="L7">
        <f>VLOOKUP(CONCATENATE($G7,"-",$F7,"-",$H$2),'Look-ups'!$O$3:$S$34,5,FALSE)*VLOOKUP(CONCATENATE($F7,"-",$H$2,"-",L$3),'Look-ups'!$I$3:$M$24,5,FALSE)</f>
        <v>790</v>
      </c>
      <c r="M7">
        <f>VLOOKUP(CONCATENATE($G7,"-",$F7,"-",$H$2),'Look-ups'!$O$3:$S$34,5,FALSE)*VLOOKUP(CONCATENATE($F7,"-",$H$2,"-",M$3),'Look-ups'!$I$3:$M$24,5,FALSE)</f>
        <v>869</v>
      </c>
      <c r="N7">
        <f>VLOOKUP(CONCATENATE($G7,"-",$F7,"-",$N$2),'Look-ups'!$O$3:$S$34,5,FALSE)*VLOOKUP(CONCATENATE($F7,"-",$N$2,"-",N$3),'Look-ups'!$I$3:$M$24,5,FALSE)</f>
        <v>315</v>
      </c>
      <c r="O7">
        <f>VLOOKUP(CONCATENATE($G7,"-",$F7,"-",$N$2),'Look-ups'!$O$3:$S$34,5,FALSE)*VLOOKUP(CONCATENATE($F7,"-",$N$2,"-",O$3),'Look-ups'!$I$3:$M$24,5,FALSE)</f>
        <v>315</v>
      </c>
      <c r="P7">
        <f>VLOOKUP(CONCATENATE($G7,"-",$F7,"-",$N$2),'Look-ups'!$O$3:$S$34,5,FALSE)*VLOOKUP(CONCATENATE($F7,"-",$N$2,"-",P$3),'Look-ups'!$I$3:$M$24,5,FALSE)</f>
        <v>420</v>
      </c>
      <c r="Q7">
        <f>VLOOKUP(CONCATENATE($G7,"-",$F7,"-",$N$2),'Look-ups'!$O$3:$S$34,5,FALSE)*VLOOKUP(CONCATENATE($F7,"-",$N$2,"-",Q$3),'Look-ups'!$I$3:$M$24,5,FALSE)</f>
        <v>540</v>
      </c>
      <c r="R7">
        <f>VLOOKUP(CONCATENATE($G7,"-",$F7,"-",$N$2),'Look-ups'!$O$3:$S$34,5,FALSE)*VLOOKUP(CONCATENATE($F7,"-",$N$2,"-",R$3),'Look-ups'!$I$3:$M$24,5,FALSE)</f>
        <v>615</v>
      </c>
      <c r="S7" s="117">
        <f>VLOOKUP(CONCATENATE($G7,"-",$F7,"-Lone Person"),'Look-ups'!$Y$4:$AG$35,5,FALSE)</f>
        <v>107</v>
      </c>
      <c r="T7">
        <f>VLOOKUP(CONCATENATE($G7,"-",$F7,"-Lone Person"),'Look-ups'!$Y$4:$AG$35,6,FALSE)</f>
        <v>153.01000000000002</v>
      </c>
      <c r="U7">
        <f>VLOOKUP(CONCATENATE($G7,"-",$F7,"-Lone Person"),'Look-ups'!$Y$4:$AG$35,7,FALSE)</f>
        <v>182.97</v>
      </c>
      <c r="V7">
        <f>VLOOKUP(CONCATENATE($G7,"-",$F7,"-Lone Person"),'Look-ups'!$Y$4:$AG$35,8,FALSE)</f>
        <v>223.63000000000002</v>
      </c>
      <c r="W7">
        <f>VLOOKUP(CONCATENATE($G7,"-",$F7,"-Lone Person"),'Look-ups'!$Y$4:$AG$35,9,FALSE)</f>
        <v>212.93</v>
      </c>
      <c r="X7" s="117">
        <f>VLOOKUP(CONCATENATE($G7,"-",$F7,"-Couple Only"),'Look-ups'!$Y$4:$AG$35,5,FALSE)</f>
        <v>173.34</v>
      </c>
      <c r="Y7">
        <f>VLOOKUP(CONCATENATE($G7,"-",$F7,"-Couple Only"),'Look-ups'!$Y$4:$AG$35,6,FALSE)</f>
        <v>163.71</v>
      </c>
      <c r="Z7">
        <f>VLOOKUP(CONCATENATE($G7,"-",$F7,"-Couple Only"),'Look-ups'!$Y$4:$AG$35,7,FALSE)</f>
        <v>185.11</v>
      </c>
      <c r="AA7">
        <f>VLOOKUP(CONCATENATE($G7,"-",$F7,"-Couple Only"),'Look-ups'!$Y$4:$AG$35,8,FALSE)</f>
        <v>204.37</v>
      </c>
      <c r="AB7">
        <f>VLOOKUP(CONCATENATE($G7,"-",$F7,"-Couple Only"),'Look-ups'!$Y$4:$AG$35,9,FALSE)</f>
        <v>256.8</v>
      </c>
      <c r="AC7">
        <v>10</v>
      </c>
      <c r="AD7" t="s">
        <v>163</v>
      </c>
      <c r="AE7" s="287">
        <f>VLOOKUP($AD7,'Look-ups'!$A$122:$G$130,5,FALSE)</f>
        <v>9.1436865021770675E-2</v>
      </c>
      <c r="AF7" s="287">
        <f>VLOOKUP($AD7,'Look-ups'!$A$122:$G$130,6,FALSE)</f>
        <v>0.2815674891146589</v>
      </c>
      <c r="AG7" s="287">
        <f>VLOOKUP($AD7,'Look-ups'!$A$122:$G$130,7,FALSE)</f>
        <v>0.62699564586357037</v>
      </c>
      <c r="AH7" s="291">
        <f>VLOOKUP($AC7,'Look-ups'!$A$50:$AO$118,'Look-ups'!$B$133*4,FALSE)*0.277778</f>
        <v>5.039376206978595</v>
      </c>
      <c r="AI7" s="291">
        <f>VLOOKUP($AC7,'Look-ups'!$A$50:$AO$118,'Look-ups'!$B$133*4+1,FALSE)*0.277778</f>
        <v>28.571761793021409</v>
      </c>
      <c r="AJ7" s="291">
        <f>AE7*$AH7/'Look-ups'!$B$141</f>
        <v>0.6023330222633001</v>
      </c>
      <c r="AK7" s="291">
        <f>AF7*$AH7/'Look-ups'!$B$140</f>
        <v>1.9437321990453651</v>
      </c>
      <c r="AL7" s="291">
        <f>AG7*$AH7/'Look-ups'!$B$137</f>
        <v>0.60184132183696259</v>
      </c>
      <c r="AM7" s="291">
        <f>AI7/'Look-ups'!$B$136</f>
        <v>6.0151077458992441</v>
      </c>
      <c r="AN7" s="290">
        <f>AJ7*VLOOKUP($AD7,'Look-ups'!$A$123:$M$130,10,FALSE)</f>
        <v>0.16346648965312335</v>
      </c>
      <c r="AO7" s="290">
        <f>AK7*VLOOKUP($AD7,'Look-ups'!$A$123:$M$130,9,FALSE)</f>
        <v>0.29980514184515522</v>
      </c>
      <c r="AP7" s="290">
        <f>(AL7+AM7)*VLOOKUP($AD7,'Look-ups'!$A$123:$M$130,8,FALSE)</f>
        <v>2.1174237016755861</v>
      </c>
      <c r="AQ7" s="290">
        <f t="shared" si="0"/>
        <v>2.5806953331738649</v>
      </c>
      <c r="AR7" s="292">
        <f>AJ7*VLOOKUP($AD7,'Look-ups'!$A$123:$M$130,11,FALSE)</f>
        <v>2.602151516419916E-3</v>
      </c>
      <c r="AS7" s="292">
        <f>AK7*VLOOKUP($AD7,'Look-ups'!$A$123:$M$130,12,FALSE)</f>
        <v>0.36058796924364644</v>
      </c>
      <c r="AT7" s="292">
        <f>(AL7+AM7)*VLOOKUP($AD7,'Look-ups'!$A$123:$M$130,13,FALSE)</f>
        <v>1.7032026900352997</v>
      </c>
      <c r="AU7" s="292">
        <f t="shared" si="1"/>
        <v>2.066392810795366</v>
      </c>
      <c r="AW7" t="s">
        <v>306</v>
      </c>
      <c r="AY7" t="s">
        <v>339</v>
      </c>
      <c r="BA7" t="s">
        <v>357</v>
      </c>
      <c r="BC7" t="s">
        <v>375</v>
      </c>
      <c r="BE7" t="s">
        <v>384</v>
      </c>
      <c r="BG7" t="s">
        <v>194</v>
      </c>
    </row>
    <row r="8" spans="1:67" x14ac:dyDescent="0.25">
      <c r="A8">
        <v>1004</v>
      </c>
      <c r="B8" t="s">
        <v>306</v>
      </c>
      <c r="C8">
        <v>94.302099999999896</v>
      </c>
      <c r="D8">
        <v>17524</v>
      </c>
      <c r="E8">
        <v>185.82831135255756</v>
      </c>
      <c r="F8" t="s">
        <v>172</v>
      </c>
      <c r="G8" t="s">
        <v>163</v>
      </c>
      <c r="H8">
        <f>VLOOKUP(CONCATENATE($G8,"-",$F8,"-",$H$2),'Look-ups'!$O$3:$S$34,5,FALSE)*VLOOKUP(CONCATENATE($F8,"-",$H$2,"-",H$3),'Look-ups'!$I$3:$M$24,5,FALSE)</f>
        <v>316</v>
      </c>
      <c r="I8">
        <f>VLOOKUP(CONCATENATE($G8,"-",$F8,"-",$H$2),'Look-ups'!$O$3:$S$34,5,FALSE)*VLOOKUP(CONCATENATE($F8,"-",$H$2,"-",I$3),'Look-ups'!$I$3:$M$24,5,FALSE)</f>
        <v>474</v>
      </c>
      <c r="J8">
        <f>VLOOKUP(CONCATENATE($G8,"-",$F8,"-",$H$2),'Look-ups'!$O$3:$S$34,5,FALSE)*VLOOKUP(CONCATENATE($F8,"-",$H$2,"-",J$3),'Look-ups'!$I$3:$M$24,5,FALSE)</f>
        <v>553</v>
      </c>
      <c r="K8">
        <f>VLOOKUP(CONCATENATE($G8,"-",$F8,"-",$H$2),'Look-ups'!$O$3:$S$34,5,FALSE)*VLOOKUP(CONCATENATE($F8,"-",$H$2,"-",K$3),'Look-ups'!$I$3:$M$24,5,FALSE)</f>
        <v>711</v>
      </c>
      <c r="L8">
        <f>VLOOKUP(CONCATENATE($G8,"-",$F8,"-",$H$2),'Look-ups'!$O$3:$S$34,5,FALSE)*VLOOKUP(CONCATENATE($F8,"-",$H$2,"-",L$3),'Look-ups'!$I$3:$M$24,5,FALSE)</f>
        <v>790</v>
      </c>
      <c r="M8">
        <f>VLOOKUP(CONCATENATE($G8,"-",$F8,"-",$H$2),'Look-ups'!$O$3:$S$34,5,FALSE)*VLOOKUP(CONCATENATE($F8,"-",$H$2,"-",M$3),'Look-ups'!$I$3:$M$24,5,FALSE)</f>
        <v>869</v>
      </c>
      <c r="N8">
        <f>VLOOKUP(CONCATENATE($G8,"-",$F8,"-",$N$2),'Look-ups'!$O$3:$S$34,5,FALSE)*VLOOKUP(CONCATENATE($F8,"-",$N$2,"-",N$3),'Look-ups'!$I$3:$M$24,5,FALSE)</f>
        <v>315</v>
      </c>
      <c r="O8">
        <f>VLOOKUP(CONCATENATE($G8,"-",$F8,"-",$N$2),'Look-ups'!$O$3:$S$34,5,FALSE)*VLOOKUP(CONCATENATE($F8,"-",$N$2,"-",O$3),'Look-ups'!$I$3:$M$24,5,FALSE)</f>
        <v>315</v>
      </c>
      <c r="P8">
        <f>VLOOKUP(CONCATENATE($G8,"-",$F8,"-",$N$2),'Look-ups'!$O$3:$S$34,5,FALSE)*VLOOKUP(CONCATENATE($F8,"-",$N$2,"-",P$3),'Look-ups'!$I$3:$M$24,5,FALSE)</f>
        <v>420</v>
      </c>
      <c r="Q8">
        <f>VLOOKUP(CONCATENATE($G8,"-",$F8,"-",$N$2),'Look-ups'!$O$3:$S$34,5,FALSE)*VLOOKUP(CONCATENATE($F8,"-",$N$2,"-",Q$3),'Look-ups'!$I$3:$M$24,5,FALSE)</f>
        <v>540</v>
      </c>
      <c r="R8">
        <f>VLOOKUP(CONCATENATE($G8,"-",$F8,"-",$N$2),'Look-ups'!$O$3:$S$34,5,FALSE)*VLOOKUP(CONCATENATE($F8,"-",$N$2,"-",R$3),'Look-ups'!$I$3:$M$24,5,FALSE)</f>
        <v>615</v>
      </c>
      <c r="S8" s="117">
        <f>VLOOKUP(CONCATENATE($G8,"-",$F8,"-Lone Person"),'Look-ups'!$Y$4:$AG$35,5,FALSE)</f>
        <v>107</v>
      </c>
      <c r="T8">
        <f>VLOOKUP(CONCATENATE($G8,"-",$F8,"-Lone Person"),'Look-ups'!$Y$4:$AG$35,6,FALSE)</f>
        <v>153.01000000000002</v>
      </c>
      <c r="U8">
        <f>VLOOKUP(CONCATENATE($G8,"-",$F8,"-Lone Person"),'Look-ups'!$Y$4:$AG$35,7,FALSE)</f>
        <v>182.97</v>
      </c>
      <c r="V8">
        <f>VLOOKUP(CONCATENATE($G8,"-",$F8,"-Lone Person"),'Look-ups'!$Y$4:$AG$35,8,FALSE)</f>
        <v>223.63000000000002</v>
      </c>
      <c r="W8">
        <f>VLOOKUP(CONCATENATE($G8,"-",$F8,"-Lone Person"),'Look-ups'!$Y$4:$AG$35,9,FALSE)</f>
        <v>212.93</v>
      </c>
      <c r="X8" s="117">
        <f>VLOOKUP(CONCATENATE($G8,"-",$F8,"-Couple Only"),'Look-ups'!$Y$4:$AG$35,5,FALSE)</f>
        <v>173.34</v>
      </c>
      <c r="Y8">
        <f>VLOOKUP(CONCATENATE($G8,"-",$F8,"-Couple Only"),'Look-ups'!$Y$4:$AG$35,6,FALSE)</f>
        <v>163.71</v>
      </c>
      <c r="Z8">
        <f>VLOOKUP(CONCATENATE($G8,"-",$F8,"-Couple Only"),'Look-ups'!$Y$4:$AG$35,7,FALSE)</f>
        <v>185.11</v>
      </c>
      <c r="AA8">
        <f>VLOOKUP(CONCATENATE($G8,"-",$F8,"-Couple Only"),'Look-ups'!$Y$4:$AG$35,8,FALSE)</f>
        <v>204.37</v>
      </c>
      <c r="AB8">
        <f>VLOOKUP(CONCATENATE($G8,"-",$F8,"-Couple Only"),'Look-ups'!$Y$4:$AG$35,9,FALSE)</f>
        <v>256.8</v>
      </c>
      <c r="AC8">
        <v>18</v>
      </c>
      <c r="AD8" t="s">
        <v>163</v>
      </c>
      <c r="AE8" s="287">
        <f>VLOOKUP($AD8,'Look-ups'!$A$122:$G$130,5,FALSE)</f>
        <v>9.1436865021770675E-2</v>
      </c>
      <c r="AF8" s="287">
        <f>VLOOKUP($AD8,'Look-ups'!$A$122:$G$130,6,FALSE)</f>
        <v>0.2815674891146589</v>
      </c>
      <c r="AG8" s="287">
        <f>VLOOKUP($AD8,'Look-ups'!$A$122:$G$130,7,FALSE)</f>
        <v>0.62699564586357037</v>
      </c>
      <c r="AH8" s="291">
        <f>VLOOKUP($AC8,'Look-ups'!$A$50:$AO$118,'Look-ups'!$B$133*4,FALSE)*0.277778</f>
        <v>33.381647555082509</v>
      </c>
      <c r="AI8" s="291">
        <f>VLOOKUP($AC8,'Look-ups'!$A$50:$AO$118,'Look-ups'!$B$133*4+1,FALSE)*0.277778</f>
        <v>20.785062444917497</v>
      </c>
      <c r="AJ8" s="291">
        <f>AE8*$AH8/'Look-ups'!$B$141</f>
        <v>3.9899518976449686</v>
      </c>
      <c r="AK8" s="291">
        <f>AF8*$AH8/'Look-ups'!$B$140</f>
        <v>12.875598198075444</v>
      </c>
      <c r="AL8" s="291">
        <f>AG8*$AH8/'Look-ups'!$B$137</f>
        <v>3.9866947940550537</v>
      </c>
      <c r="AM8" s="291">
        <f>AI8/'Look-ups'!$B$136</f>
        <v>4.3758026199826308</v>
      </c>
      <c r="AN8" s="290">
        <f>AJ8*VLOOKUP($AD8,'Look-ups'!$A$123:$M$130,10,FALSE)</f>
        <v>1.0828286122219817</v>
      </c>
      <c r="AO8" s="290">
        <f>AK8*VLOOKUP($AD8,'Look-ups'!$A$123:$M$130,9,FALSE)</f>
        <v>1.9859580172675528</v>
      </c>
      <c r="AP8" s="290">
        <f>(AL8+AM8)*VLOOKUP($AD8,'Look-ups'!$A$123:$M$130,8,FALSE)</f>
        <v>2.6759991724920589</v>
      </c>
      <c r="AQ8" s="290">
        <f t="shared" si="0"/>
        <v>5.7447858019815934</v>
      </c>
      <c r="AR8" s="292">
        <f>AJ8*VLOOKUP($AD8,'Look-ups'!$A$123:$M$130,11,FALSE)</f>
        <v>1.723707483592167E-2</v>
      </c>
      <c r="AS8" s="292">
        <f>AK8*VLOOKUP($AD8,'Look-ups'!$A$123:$M$130,12,FALSE)</f>
        <v>2.3885933511424118</v>
      </c>
      <c r="AT8" s="292">
        <f>(AL8+AM8)*VLOOKUP($AD8,'Look-ups'!$A$123:$M$130,13,FALSE)</f>
        <v>2.1525068343733</v>
      </c>
      <c r="AU8" s="292">
        <f t="shared" si="1"/>
        <v>4.5583372603516334</v>
      </c>
      <c r="AW8" t="s">
        <v>307</v>
      </c>
      <c r="AY8" t="s">
        <v>1007</v>
      </c>
      <c r="BA8" t="s">
        <v>358</v>
      </c>
      <c r="BC8" t="s">
        <v>376</v>
      </c>
      <c r="BE8" t="s">
        <v>385</v>
      </c>
      <c r="BG8" t="s">
        <v>394</v>
      </c>
    </row>
    <row r="9" spans="1:67" x14ac:dyDescent="0.25">
      <c r="A9">
        <v>1005</v>
      </c>
      <c r="B9" t="s">
        <v>307</v>
      </c>
      <c r="C9">
        <v>213.53880000000001</v>
      </c>
      <c r="D9">
        <v>37396</v>
      </c>
      <c r="E9">
        <v>175.12508265476811</v>
      </c>
      <c r="F9" t="s">
        <v>172</v>
      </c>
      <c r="G9" t="s">
        <v>163</v>
      </c>
      <c r="H9">
        <f>VLOOKUP(CONCATENATE($G9,"-",$F9,"-",$H$2),'Look-ups'!$O$3:$S$34,5,FALSE)*VLOOKUP(CONCATENATE($F9,"-",$H$2,"-",H$3),'Look-ups'!$I$3:$M$24,5,FALSE)</f>
        <v>316</v>
      </c>
      <c r="I9">
        <f>VLOOKUP(CONCATENATE($G9,"-",$F9,"-",$H$2),'Look-ups'!$O$3:$S$34,5,FALSE)*VLOOKUP(CONCATENATE($F9,"-",$H$2,"-",I$3),'Look-ups'!$I$3:$M$24,5,FALSE)</f>
        <v>474</v>
      </c>
      <c r="J9">
        <f>VLOOKUP(CONCATENATE($G9,"-",$F9,"-",$H$2),'Look-ups'!$O$3:$S$34,5,FALSE)*VLOOKUP(CONCATENATE($F9,"-",$H$2,"-",J$3),'Look-ups'!$I$3:$M$24,5,FALSE)</f>
        <v>553</v>
      </c>
      <c r="K9">
        <f>VLOOKUP(CONCATENATE($G9,"-",$F9,"-",$H$2),'Look-ups'!$O$3:$S$34,5,FALSE)*VLOOKUP(CONCATENATE($F9,"-",$H$2,"-",K$3),'Look-ups'!$I$3:$M$24,5,FALSE)</f>
        <v>711</v>
      </c>
      <c r="L9">
        <f>VLOOKUP(CONCATENATE($G9,"-",$F9,"-",$H$2),'Look-ups'!$O$3:$S$34,5,FALSE)*VLOOKUP(CONCATENATE($F9,"-",$H$2,"-",L$3),'Look-ups'!$I$3:$M$24,5,FALSE)</f>
        <v>790</v>
      </c>
      <c r="M9">
        <f>VLOOKUP(CONCATENATE($G9,"-",$F9,"-",$H$2),'Look-ups'!$O$3:$S$34,5,FALSE)*VLOOKUP(CONCATENATE($F9,"-",$H$2,"-",M$3),'Look-ups'!$I$3:$M$24,5,FALSE)</f>
        <v>869</v>
      </c>
      <c r="N9">
        <f>VLOOKUP(CONCATENATE($G9,"-",$F9,"-",$N$2),'Look-ups'!$O$3:$S$34,5,FALSE)*VLOOKUP(CONCATENATE($F9,"-",$N$2,"-",N$3),'Look-ups'!$I$3:$M$24,5,FALSE)</f>
        <v>315</v>
      </c>
      <c r="O9">
        <f>VLOOKUP(CONCATENATE($G9,"-",$F9,"-",$N$2),'Look-ups'!$O$3:$S$34,5,FALSE)*VLOOKUP(CONCATENATE($F9,"-",$N$2,"-",O$3),'Look-ups'!$I$3:$M$24,5,FALSE)</f>
        <v>315</v>
      </c>
      <c r="P9">
        <f>VLOOKUP(CONCATENATE($G9,"-",$F9,"-",$N$2),'Look-ups'!$O$3:$S$34,5,FALSE)*VLOOKUP(CONCATENATE($F9,"-",$N$2,"-",P$3),'Look-ups'!$I$3:$M$24,5,FALSE)</f>
        <v>420</v>
      </c>
      <c r="Q9">
        <f>VLOOKUP(CONCATENATE($G9,"-",$F9,"-",$N$2),'Look-ups'!$O$3:$S$34,5,FALSE)*VLOOKUP(CONCATENATE($F9,"-",$N$2,"-",Q$3),'Look-ups'!$I$3:$M$24,5,FALSE)</f>
        <v>540</v>
      </c>
      <c r="R9">
        <f>VLOOKUP(CONCATENATE($G9,"-",$F9,"-",$N$2),'Look-ups'!$O$3:$S$34,5,FALSE)*VLOOKUP(CONCATENATE($F9,"-",$N$2,"-",R$3),'Look-ups'!$I$3:$M$24,5,FALSE)</f>
        <v>615</v>
      </c>
      <c r="S9" s="117">
        <f>VLOOKUP(CONCATENATE($G9,"-",$F9,"-Lone Person"),'Look-ups'!$Y$4:$AG$35,5,FALSE)</f>
        <v>107</v>
      </c>
      <c r="T9">
        <f>VLOOKUP(CONCATENATE($G9,"-",$F9,"-Lone Person"),'Look-ups'!$Y$4:$AG$35,6,FALSE)</f>
        <v>153.01000000000002</v>
      </c>
      <c r="U9">
        <f>VLOOKUP(CONCATENATE($G9,"-",$F9,"-Lone Person"),'Look-ups'!$Y$4:$AG$35,7,FALSE)</f>
        <v>182.97</v>
      </c>
      <c r="V9">
        <f>VLOOKUP(CONCATENATE($G9,"-",$F9,"-Lone Person"),'Look-ups'!$Y$4:$AG$35,8,FALSE)</f>
        <v>223.63000000000002</v>
      </c>
      <c r="W9">
        <f>VLOOKUP(CONCATENATE($G9,"-",$F9,"-Lone Person"),'Look-ups'!$Y$4:$AG$35,9,FALSE)</f>
        <v>212.93</v>
      </c>
      <c r="X9" s="117">
        <f>VLOOKUP(CONCATENATE($G9,"-",$F9,"-Couple Only"),'Look-ups'!$Y$4:$AG$35,5,FALSE)</f>
        <v>173.34</v>
      </c>
      <c r="Y9">
        <f>VLOOKUP(CONCATENATE($G9,"-",$F9,"-Couple Only"),'Look-ups'!$Y$4:$AG$35,6,FALSE)</f>
        <v>163.71</v>
      </c>
      <c r="Z9">
        <f>VLOOKUP(CONCATENATE($G9,"-",$F9,"-Couple Only"),'Look-ups'!$Y$4:$AG$35,7,FALSE)</f>
        <v>185.11</v>
      </c>
      <c r="AA9">
        <f>VLOOKUP(CONCATENATE($G9,"-",$F9,"-Couple Only"),'Look-ups'!$Y$4:$AG$35,8,FALSE)</f>
        <v>204.37</v>
      </c>
      <c r="AB9">
        <f>VLOOKUP(CONCATENATE($G9,"-",$F9,"-Couple Only"),'Look-ups'!$Y$4:$AG$35,9,FALSE)</f>
        <v>256.8</v>
      </c>
      <c r="AC9">
        <v>65</v>
      </c>
      <c r="AD9" t="s">
        <v>163</v>
      </c>
      <c r="AE9" s="287">
        <f>VLOOKUP($AD9,'Look-ups'!$A$122:$G$130,5,FALSE)</f>
        <v>9.1436865021770675E-2</v>
      </c>
      <c r="AF9" s="287">
        <f>VLOOKUP($AD9,'Look-ups'!$A$122:$G$130,6,FALSE)</f>
        <v>0.2815674891146589</v>
      </c>
      <c r="AG9" s="287">
        <f>VLOOKUP($AD9,'Look-ups'!$A$122:$G$130,7,FALSE)</f>
        <v>0.62699564586357037</v>
      </c>
      <c r="AH9" s="291">
        <f>VLOOKUP($AC9,'Look-ups'!$A$50:$AO$118,'Look-ups'!$B$133*4,FALSE)*0.277778</f>
        <v>118.60883174298655</v>
      </c>
      <c r="AI9" s="291">
        <f>VLOOKUP($AC9,'Look-ups'!$A$50:$AO$118,'Look-ups'!$B$133*4+1,FALSE)*0.277778</f>
        <v>10.00238225701346</v>
      </c>
      <c r="AJ9" s="291">
        <f>AE9*$AH9/'Look-ups'!$B$141</f>
        <v>14.176757828069766</v>
      </c>
      <c r="AK9" s="291">
        <f>AF9*$AH9/'Look-ups'!$B$140</f>
        <v>45.748480740679142</v>
      </c>
      <c r="AL9" s="291">
        <f>AG9*$AH9/'Look-ups'!$B$137</f>
        <v>14.165184964536646</v>
      </c>
      <c r="AM9" s="291">
        <f>AI9/'Look-ups'!$B$136</f>
        <v>2.1057646856870442</v>
      </c>
      <c r="AN9" s="290">
        <f>AJ9*VLOOKUP($AD9,'Look-ups'!$A$123:$M$130,10,FALSE)</f>
        <v>3.8474145550067109</v>
      </c>
      <c r="AO9" s="290">
        <f>AK9*VLOOKUP($AD9,'Look-ups'!$A$123:$M$130,9,FALSE)</f>
        <v>7.056337166403833</v>
      </c>
      <c r="AP9" s="290">
        <f>(AL9+AM9)*VLOOKUP($AD9,'Look-ups'!$A$123:$M$130,8,FALSE)</f>
        <v>5.2067038880715817</v>
      </c>
      <c r="AQ9" s="290">
        <f t="shared" si="0"/>
        <v>16.110455609482123</v>
      </c>
      <c r="AR9" s="292">
        <f>AJ9*VLOOKUP($AD9,'Look-ups'!$A$123:$M$130,11,FALSE)</f>
        <v>6.1245308685904588E-2</v>
      </c>
      <c r="AS9" s="292">
        <f>AK9*VLOOKUP($AD9,'Look-ups'!$A$123:$M$130,12,FALSE)</f>
        <v>8.4869467997522996</v>
      </c>
      <c r="AT9" s="292">
        <f>(AL9+AM9)*VLOOKUP($AD9,'Look-ups'!$A$123:$M$130,13,FALSE)</f>
        <v>4.1881424399675788</v>
      </c>
      <c r="AU9" s="292">
        <f t="shared" si="1"/>
        <v>12.736334548405782</v>
      </c>
      <c r="AW9" t="s">
        <v>308</v>
      </c>
      <c r="AY9" t="s">
        <v>340</v>
      </c>
      <c r="BA9" t="s">
        <v>1011</v>
      </c>
      <c r="BC9" t="s">
        <v>377</v>
      </c>
      <c r="BE9" t="s">
        <v>386</v>
      </c>
    </row>
    <row r="10" spans="1:67" x14ac:dyDescent="0.25">
      <c r="A10">
        <v>1006</v>
      </c>
      <c r="B10" t="s">
        <v>308</v>
      </c>
      <c r="C10">
        <v>421.81920000000002</v>
      </c>
      <c r="D10">
        <v>41600</v>
      </c>
      <c r="E10">
        <v>98.620451605806466</v>
      </c>
      <c r="F10" t="s">
        <v>172</v>
      </c>
      <c r="G10" t="s">
        <v>163</v>
      </c>
      <c r="H10">
        <f>VLOOKUP(CONCATENATE($G10,"-",$F10,"-",$H$2),'Look-ups'!$O$3:$S$34,5,FALSE)*VLOOKUP(CONCATENATE($F10,"-",$H$2,"-",H$3),'Look-ups'!$I$3:$M$24,5,FALSE)</f>
        <v>316</v>
      </c>
      <c r="I10">
        <f>VLOOKUP(CONCATENATE($G10,"-",$F10,"-",$H$2),'Look-ups'!$O$3:$S$34,5,FALSE)*VLOOKUP(CONCATENATE($F10,"-",$H$2,"-",I$3),'Look-ups'!$I$3:$M$24,5,FALSE)</f>
        <v>474</v>
      </c>
      <c r="J10">
        <f>VLOOKUP(CONCATENATE($G10,"-",$F10,"-",$H$2),'Look-ups'!$O$3:$S$34,5,FALSE)*VLOOKUP(CONCATENATE($F10,"-",$H$2,"-",J$3),'Look-ups'!$I$3:$M$24,5,FALSE)</f>
        <v>553</v>
      </c>
      <c r="K10">
        <f>VLOOKUP(CONCATENATE($G10,"-",$F10,"-",$H$2),'Look-ups'!$O$3:$S$34,5,FALSE)*VLOOKUP(CONCATENATE($F10,"-",$H$2,"-",K$3),'Look-ups'!$I$3:$M$24,5,FALSE)</f>
        <v>711</v>
      </c>
      <c r="L10">
        <f>VLOOKUP(CONCATENATE($G10,"-",$F10,"-",$H$2),'Look-ups'!$O$3:$S$34,5,FALSE)*VLOOKUP(CONCATENATE($F10,"-",$H$2,"-",L$3),'Look-ups'!$I$3:$M$24,5,FALSE)</f>
        <v>790</v>
      </c>
      <c r="M10">
        <f>VLOOKUP(CONCATENATE($G10,"-",$F10,"-",$H$2),'Look-ups'!$O$3:$S$34,5,FALSE)*VLOOKUP(CONCATENATE($F10,"-",$H$2,"-",M$3),'Look-ups'!$I$3:$M$24,5,FALSE)</f>
        <v>869</v>
      </c>
      <c r="N10">
        <f>VLOOKUP(CONCATENATE($G10,"-",$F10,"-",$N$2),'Look-ups'!$O$3:$S$34,5,FALSE)*VLOOKUP(CONCATENATE($F10,"-",$N$2,"-",N$3),'Look-ups'!$I$3:$M$24,5,FALSE)</f>
        <v>315</v>
      </c>
      <c r="O10">
        <f>VLOOKUP(CONCATENATE($G10,"-",$F10,"-",$N$2),'Look-ups'!$O$3:$S$34,5,FALSE)*VLOOKUP(CONCATENATE($F10,"-",$N$2,"-",O$3),'Look-ups'!$I$3:$M$24,5,FALSE)</f>
        <v>315</v>
      </c>
      <c r="P10">
        <f>VLOOKUP(CONCATENATE($G10,"-",$F10,"-",$N$2),'Look-ups'!$O$3:$S$34,5,FALSE)*VLOOKUP(CONCATENATE($F10,"-",$N$2,"-",P$3),'Look-ups'!$I$3:$M$24,5,FALSE)</f>
        <v>420</v>
      </c>
      <c r="Q10">
        <f>VLOOKUP(CONCATENATE($G10,"-",$F10,"-",$N$2),'Look-ups'!$O$3:$S$34,5,FALSE)*VLOOKUP(CONCATENATE($F10,"-",$N$2,"-",Q$3),'Look-ups'!$I$3:$M$24,5,FALSE)</f>
        <v>540</v>
      </c>
      <c r="R10">
        <f>VLOOKUP(CONCATENATE($G10,"-",$F10,"-",$N$2),'Look-ups'!$O$3:$S$34,5,FALSE)*VLOOKUP(CONCATENATE($F10,"-",$N$2,"-",R$3),'Look-ups'!$I$3:$M$24,5,FALSE)</f>
        <v>615</v>
      </c>
      <c r="S10" s="117">
        <f>VLOOKUP(CONCATENATE($G10,"-",$F10,"-Lone Person"),'Look-ups'!$Y$4:$AG$35,5,FALSE)</f>
        <v>107</v>
      </c>
      <c r="T10">
        <f>VLOOKUP(CONCATENATE($G10,"-",$F10,"-Lone Person"),'Look-ups'!$Y$4:$AG$35,6,FALSE)</f>
        <v>153.01000000000002</v>
      </c>
      <c r="U10">
        <f>VLOOKUP(CONCATENATE($G10,"-",$F10,"-Lone Person"),'Look-ups'!$Y$4:$AG$35,7,FALSE)</f>
        <v>182.97</v>
      </c>
      <c r="V10">
        <f>VLOOKUP(CONCATENATE($G10,"-",$F10,"-Lone Person"),'Look-ups'!$Y$4:$AG$35,8,FALSE)</f>
        <v>223.63000000000002</v>
      </c>
      <c r="W10">
        <f>VLOOKUP(CONCATENATE($G10,"-",$F10,"-Lone Person"),'Look-ups'!$Y$4:$AG$35,9,FALSE)</f>
        <v>212.93</v>
      </c>
      <c r="X10" s="117">
        <f>VLOOKUP(CONCATENATE($G10,"-",$F10,"-Couple Only"),'Look-ups'!$Y$4:$AG$35,5,FALSE)</f>
        <v>173.34</v>
      </c>
      <c r="Y10">
        <f>VLOOKUP(CONCATENATE($G10,"-",$F10,"-Couple Only"),'Look-ups'!$Y$4:$AG$35,6,FALSE)</f>
        <v>163.71</v>
      </c>
      <c r="Z10">
        <f>VLOOKUP(CONCATENATE($G10,"-",$F10,"-Couple Only"),'Look-ups'!$Y$4:$AG$35,7,FALSE)</f>
        <v>185.11</v>
      </c>
      <c r="AA10">
        <f>VLOOKUP(CONCATENATE($G10,"-",$F10,"-Couple Only"),'Look-ups'!$Y$4:$AG$35,8,FALSE)</f>
        <v>204.37</v>
      </c>
      <c r="AB10">
        <f>VLOOKUP(CONCATENATE($G10,"-",$F10,"-Couple Only"),'Look-ups'!$Y$4:$AG$35,9,FALSE)</f>
        <v>256.8</v>
      </c>
      <c r="AC10">
        <v>24</v>
      </c>
      <c r="AD10" t="s">
        <v>163</v>
      </c>
      <c r="AE10" s="287">
        <f>VLOOKUP($AD10,'Look-ups'!$A$122:$G$130,5,FALSE)</f>
        <v>9.1436865021770675E-2</v>
      </c>
      <c r="AF10" s="287">
        <f>VLOOKUP($AD10,'Look-ups'!$A$122:$G$130,6,FALSE)</f>
        <v>0.2815674891146589</v>
      </c>
      <c r="AG10" s="287">
        <f>VLOOKUP($AD10,'Look-ups'!$A$122:$G$130,7,FALSE)</f>
        <v>0.62699564586357037</v>
      </c>
      <c r="AH10" s="291">
        <f>VLOOKUP($AC10,'Look-ups'!$A$50:$AO$118,'Look-ups'!$B$133*4,FALSE)*0.277778</f>
        <v>103.01123319633932</v>
      </c>
      <c r="AI10" s="291">
        <f>VLOOKUP($AC10,'Look-ups'!$A$50:$AO$118,'Look-ups'!$B$133*4+1,FALSE)*0.277778</f>
        <v>16.988862803660691</v>
      </c>
      <c r="AJ10" s="291">
        <f>AE10*$AH10/'Look-ups'!$B$141</f>
        <v>12.312449967973622</v>
      </c>
      <c r="AK10" s="291">
        <f>AF10*$AH10/'Look-ups'!$B$140</f>
        <v>39.732348331092965</v>
      </c>
      <c r="AL10" s="291">
        <f>AG10*$AH10/'Look-ups'!$B$137</f>
        <v>12.302398988407928</v>
      </c>
      <c r="AM10" s="291">
        <f>AI10/'Look-ups'!$B$136</f>
        <v>3.5766026955075141</v>
      </c>
      <c r="AN10" s="290">
        <f>AJ10*VLOOKUP($AD10,'Look-ups'!$A$123:$M$130,10,FALSE)</f>
        <v>3.3414621163083962</v>
      </c>
      <c r="AO10" s="290">
        <f>AK10*VLOOKUP($AD10,'Look-ups'!$A$123:$M$130,9,FALSE)</f>
        <v>6.1283968712844414</v>
      </c>
      <c r="AP10" s="290">
        <f>(AL10+AM10)*VLOOKUP($AD10,'Look-ups'!$A$123:$M$130,8,FALSE)</f>
        <v>5.0812805388529414</v>
      </c>
      <c r="AQ10" s="290">
        <f t="shared" si="0"/>
        <v>14.55113952644578</v>
      </c>
      <c r="AR10" s="292">
        <f>AJ10*VLOOKUP($AD10,'Look-ups'!$A$123:$M$130,11,FALSE)</f>
        <v>5.319127321729613E-2</v>
      </c>
      <c r="AS10" s="292">
        <f>AK10*VLOOKUP($AD10,'Look-ups'!$A$123:$M$130,12,FALSE)</f>
        <v>7.3708748587004376</v>
      </c>
      <c r="AT10" s="292">
        <f>(AL10+AM10)*VLOOKUP($AD10,'Look-ups'!$A$123:$M$130,13,FALSE)</f>
        <v>4.0872550334398348</v>
      </c>
      <c r="AU10" s="292">
        <f t="shared" si="1"/>
        <v>11.511321165357568</v>
      </c>
      <c r="AW10" t="s">
        <v>309</v>
      </c>
      <c r="AY10" t="s">
        <v>341</v>
      </c>
      <c r="BA10" t="s">
        <v>359</v>
      </c>
      <c r="BC10" t="s">
        <v>378</v>
      </c>
      <c r="BE10" t="s">
        <v>387</v>
      </c>
    </row>
    <row r="11" spans="1:67" x14ac:dyDescent="0.25">
      <c r="A11">
        <v>1007</v>
      </c>
      <c r="B11" t="s">
        <v>309</v>
      </c>
      <c r="C11">
        <v>170.115299999999</v>
      </c>
      <c r="D11">
        <v>17588</v>
      </c>
      <c r="E11">
        <v>103.38870166293158</v>
      </c>
      <c r="F11" t="s">
        <v>172</v>
      </c>
      <c r="G11" t="s">
        <v>163</v>
      </c>
      <c r="H11">
        <f>VLOOKUP(CONCATENATE($G11,"-",$F11,"-",$H$2),'Look-ups'!$O$3:$S$34,5,FALSE)*VLOOKUP(CONCATENATE($F11,"-",$H$2,"-",H$3),'Look-ups'!$I$3:$M$24,5,FALSE)</f>
        <v>316</v>
      </c>
      <c r="I11">
        <f>VLOOKUP(CONCATENATE($G11,"-",$F11,"-",$H$2),'Look-ups'!$O$3:$S$34,5,FALSE)*VLOOKUP(CONCATENATE($F11,"-",$H$2,"-",I$3),'Look-ups'!$I$3:$M$24,5,FALSE)</f>
        <v>474</v>
      </c>
      <c r="J11">
        <f>VLOOKUP(CONCATENATE($G11,"-",$F11,"-",$H$2),'Look-ups'!$O$3:$S$34,5,FALSE)*VLOOKUP(CONCATENATE($F11,"-",$H$2,"-",J$3),'Look-ups'!$I$3:$M$24,5,FALSE)</f>
        <v>553</v>
      </c>
      <c r="K11">
        <f>VLOOKUP(CONCATENATE($G11,"-",$F11,"-",$H$2),'Look-ups'!$O$3:$S$34,5,FALSE)*VLOOKUP(CONCATENATE($F11,"-",$H$2,"-",K$3),'Look-ups'!$I$3:$M$24,5,FALSE)</f>
        <v>711</v>
      </c>
      <c r="L11">
        <f>VLOOKUP(CONCATENATE($G11,"-",$F11,"-",$H$2),'Look-ups'!$O$3:$S$34,5,FALSE)*VLOOKUP(CONCATENATE($F11,"-",$H$2,"-",L$3),'Look-ups'!$I$3:$M$24,5,FALSE)</f>
        <v>790</v>
      </c>
      <c r="M11">
        <f>VLOOKUP(CONCATENATE($G11,"-",$F11,"-",$H$2),'Look-ups'!$O$3:$S$34,5,FALSE)*VLOOKUP(CONCATENATE($F11,"-",$H$2,"-",M$3),'Look-ups'!$I$3:$M$24,5,FALSE)</f>
        <v>869</v>
      </c>
      <c r="N11">
        <f>VLOOKUP(CONCATENATE($G11,"-",$F11,"-",$N$2),'Look-ups'!$O$3:$S$34,5,FALSE)*VLOOKUP(CONCATENATE($F11,"-",$N$2,"-",N$3),'Look-ups'!$I$3:$M$24,5,FALSE)</f>
        <v>315</v>
      </c>
      <c r="O11">
        <f>VLOOKUP(CONCATENATE($G11,"-",$F11,"-",$N$2),'Look-ups'!$O$3:$S$34,5,FALSE)*VLOOKUP(CONCATENATE($F11,"-",$N$2,"-",O$3),'Look-ups'!$I$3:$M$24,5,FALSE)</f>
        <v>315</v>
      </c>
      <c r="P11">
        <f>VLOOKUP(CONCATENATE($G11,"-",$F11,"-",$N$2),'Look-ups'!$O$3:$S$34,5,FALSE)*VLOOKUP(CONCATENATE($F11,"-",$N$2,"-",P$3),'Look-ups'!$I$3:$M$24,5,FALSE)</f>
        <v>420</v>
      </c>
      <c r="Q11">
        <f>VLOOKUP(CONCATENATE($G11,"-",$F11,"-",$N$2),'Look-ups'!$O$3:$S$34,5,FALSE)*VLOOKUP(CONCATENATE($F11,"-",$N$2,"-",Q$3),'Look-ups'!$I$3:$M$24,5,FALSE)</f>
        <v>540</v>
      </c>
      <c r="R11">
        <f>VLOOKUP(CONCATENATE($G11,"-",$F11,"-",$N$2),'Look-ups'!$O$3:$S$34,5,FALSE)*VLOOKUP(CONCATENATE($F11,"-",$N$2,"-",R$3),'Look-ups'!$I$3:$M$24,5,FALSE)</f>
        <v>615</v>
      </c>
      <c r="S11" s="117">
        <f>VLOOKUP(CONCATENATE($G11,"-",$F11,"-Lone Person"),'Look-ups'!$Y$4:$AG$35,5,FALSE)</f>
        <v>107</v>
      </c>
      <c r="T11">
        <f>VLOOKUP(CONCATENATE($G11,"-",$F11,"-Lone Person"),'Look-ups'!$Y$4:$AG$35,6,FALSE)</f>
        <v>153.01000000000002</v>
      </c>
      <c r="U11">
        <f>VLOOKUP(CONCATENATE($G11,"-",$F11,"-Lone Person"),'Look-ups'!$Y$4:$AG$35,7,FALSE)</f>
        <v>182.97</v>
      </c>
      <c r="V11">
        <f>VLOOKUP(CONCATENATE($G11,"-",$F11,"-Lone Person"),'Look-ups'!$Y$4:$AG$35,8,FALSE)</f>
        <v>223.63000000000002</v>
      </c>
      <c r="W11">
        <f>VLOOKUP(CONCATENATE($G11,"-",$F11,"-Lone Person"),'Look-ups'!$Y$4:$AG$35,9,FALSE)</f>
        <v>212.93</v>
      </c>
      <c r="X11" s="117">
        <f>VLOOKUP(CONCATENATE($G11,"-",$F11,"-Couple Only"),'Look-ups'!$Y$4:$AG$35,5,FALSE)</f>
        <v>173.34</v>
      </c>
      <c r="Y11">
        <f>VLOOKUP(CONCATENATE($G11,"-",$F11,"-Couple Only"),'Look-ups'!$Y$4:$AG$35,6,FALSE)</f>
        <v>163.71</v>
      </c>
      <c r="Z11">
        <f>VLOOKUP(CONCATENATE($G11,"-",$F11,"-Couple Only"),'Look-ups'!$Y$4:$AG$35,7,FALSE)</f>
        <v>185.11</v>
      </c>
      <c r="AA11">
        <f>VLOOKUP(CONCATENATE($G11,"-",$F11,"-Couple Only"),'Look-ups'!$Y$4:$AG$35,8,FALSE)</f>
        <v>204.37</v>
      </c>
      <c r="AB11">
        <f>VLOOKUP(CONCATENATE($G11,"-",$F11,"-Couple Only"),'Look-ups'!$Y$4:$AG$35,9,FALSE)</f>
        <v>256.8</v>
      </c>
      <c r="AC11">
        <v>46</v>
      </c>
      <c r="AD11" t="s">
        <v>163</v>
      </c>
      <c r="AE11" s="287">
        <f>VLOOKUP($AD11,'Look-ups'!$A$122:$G$130,5,FALSE)</f>
        <v>9.1436865021770675E-2</v>
      </c>
      <c r="AF11" s="287">
        <f>VLOOKUP($AD11,'Look-ups'!$A$122:$G$130,6,FALSE)</f>
        <v>0.2815674891146589</v>
      </c>
      <c r="AG11" s="287">
        <f>VLOOKUP($AD11,'Look-ups'!$A$122:$G$130,7,FALSE)</f>
        <v>0.62699564586357037</v>
      </c>
      <c r="AH11" s="291">
        <f>VLOOKUP($AC11,'Look-ups'!$A$50:$AO$118,'Look-ups'!$B$133*4,FALSE)*0.277778</f>
        <v>28.702198805628555</v>
      </c>
      <c r="AI11" s="291">
        <f>VLOOKUP($AC11,'Look-ups'!$A$50:$AO$118,'Look-ups'!$B$133*4+1,FALSE)*0.277778</f>
        <v>23.242287194371446</v>
      </c>
      <c r="AJ11" s="291">
        <f>AE11*$AH11/'Look-ups'!$B$141</f>
        <v>3.4306393176709622</v>
      </c>
      <c r="AK11" s="291">
        <f>AF11*$AH11/'Look-ups'!$B$140</f>
        <v>11.070693218863827</v>
      </c>
      <c r="AL11" s="291">
        <f>AG11*$AH11/'Look-ups'!$B$137</f>
        <v>3.4278387957789858</v>
      </c>
      <c r="AM11" s="291">
        <f>AI11/'Look-ups'!$B$136</f>
        <v>4.8931130935518832</v>
      </c>
      <c r="AN11" s="290">
        <f>AJ11*VLOOKUP($AD11,'Look-ups'!$A$123:$M$130,10,FALSE)</f>
        <v>0.93103739260125817</v>
      </c>
      <c r="AO11" s="290">
        <f>AK11*VLOOKUP($AD11,'Look-ups'!$A$123:$M$130,9,FALSE)</f>
        <v>1.7075658634639945</v>
      </c>
      <c r="AP11" s="290">
        <f>(AL11+AM11)*VLOOKUP($AD11,'Look-ups'!$A$123:$M$130,8,FALSE)</f>
        <v>2.6627046045858784</v>
      </c>
      <c r="AQ11" s="290">
        <f t="shared" si="0"/>
        <v>5.3013078606511312</v>
      </c>
      <c r="AR11" s="292">
        <f>AJ11*VLOOKUP($AD11,'Look-ups'!$A$123:$M$130,11,FALSE)</f>
        <v>1.4820776834089911E-2</v>
      </c>
      <c r="AS11" s="292">
        <f>AK11*VLOOKUP($AD11,'Look-ups'!$A$123:$M$130,12,FALSE)</f>
        <v>2.0537596629155526</v>
      </c>
      <c r="AT11" s="292">
        <f>(AL11+AM11)*VLOOKUP($AD11,'Look-ups'!$A$123:$M$130,13,FALSE)</f>
        <v>2.1418130163137659</v>
      </c>
      <c r="AU11" s="292">
        <f t="shared" si="1"/>
        <v>4.2103934560634082</v>
      </c>
      <c r="AW11" t="s">
        <v>1005</v>
      </c>
      <c r="AY11" t="s">
        <v>342</v>
      </c>
      <c r="BA11" t="s">
        <v>360</v>
      </c>
      <c r="BC11" t="s">
        <v>379</v>
      </c>
      <c r="BE11" t="s">
        <v>388</v>
      </c>
    </row>
    <row r="12" spans="1:67" x14ac:dyDescent="0.25">
      <c r="A12">
        <v>1008</v>
      </c>
      <c r="B12" t="s">
        <v>1005</v>
      </c>
      <c r="C12">
        <v>39.777099999999898</v>
      </c>
      <c r="D12">
        <v>10914</v>
      </c>
      <c r="E12">
        <v>274.37897684848889</v>
      </c>
      <c r="F12" t="s">
        <v>172</v>
      </c>
      <c r="G12" t="s">
        <v>163</v>
      </c>
      <c r="H12">
        <f>VLOOKUP(CONCATENATE($G12,"-",$F12,"-",$H$2),'Look-ups'!$O$3:$S$34,5,FALSE)*VLOOKUP(CONCATENATE($F12,"-",$H$2,"-",H$3),'Look-ups'!$I$3:$M$24,5,FALSE)</f>
        <v>316</v>
      </c>
      <c r="I12">
        <f>VLOOKUP(CONCATENATE($G12,"-",$F12,"-",$H$2),'Look-ups'!$O$3:$S$34,5,FALSE)*VLOOKUP(CONCATENATE($F12,"-",$H$2,"-",I$3),'Look-ups'!$I$3:$M$24,5,FALSE)</f>
        <v>474</v>
      </c>
      <c r="J12">
        <f>VLOOKUP(CONCATENATE($G12,"-",$F12,"-",$H$2),'Look-ups'!$O$3:$S$34,5,FALSE)*VLOOKUP(CONCATENATE($F12,"-",$H$2,"-",J$3),'Look-ups'!$I$3:$M$24,5,FALSE)</f>
        <v>553</v>
      </c>
      <c r="K12">
        <f>VLOOKUP(CONCATENATE($G12,"-",$F12,"-",$H$2),'Look-ups'!$O$3:$S$34,5,FALSE)*VLOOKUP(CONCATENATE($F12,"-",$H$2,"-",K$3),'Look-ups'!$I$3:$M$24,5,FALSE)</f>
        <v>711</v>
      </c>
      <c r="L12">
        <f>VLOOKUP(CONCATENATE($G12,"-",$F12,"-",$H$2),'Look-ups'!$O$3:$S$34,5,FALSE)*VLOOKUP(CONCATENATE($F12,"-",$H$2,"-",L$3),'Look-ups'!$I$3:$M$24,5,FALSE)</f>
        <v>790</v>
      </c>
      <c r="M12">
        <f>VLOOKUP(CONCATENATE($G12,"-",$F12,"-",$H$2),'Look-ups'!$O$3:$S$34,5,FALSE)*VLOOKUP(CONCATENATE($F12,"-",$H$2,"-",M$3),'Look-ups'!$I$3:$M$24,5,FALSE)</f>
        <v>869</v>
      </c>
      <c r="N12">
        <f>VLOOKUP(CONCATENATE($G12,"-",$F12,"-",$N$2),'Look-ups'!$O$3:$S$34,5,FALSE)*VLOOKUP(CONCATENATE($F12,"-",$N$2,"-",N$3),'Look-ups'!$I$3:$M$24,5,FALSE)</f>
        <v>315</v>
      </c>
      <c r="O12">
        <f>VLOOKUP(CONCATENATE($G12,"-",$F12,"-",$N$2),'Look-ups'!$O$3:$S$34,5,FALSE)*VLOOKUP(CONCATENATE($F12,"-",$N$2,"-",O$3),'Look-ups'!$I$3:$M$24,5,FALSE)</f>
        <v>315</v>
      </c>
      <c r="P12">
        <f>VLOOKUP(CONCATENATE($G12,"-",$F12,"-",$N$2),'Look-ups'!$O$3:$S$34,5,FALSE)*VLOOKUP(CONCATENATE($F12,"-",$N$2,"-",P$3),'Look-ups'!$I$3:$M$24,5,FALSE)</f>
        <v>420</v>
      </c>
      <c r="Q12">
        <f>VLOOKUP(CONCATENATE($G12,"-",$F12,"-",$N$2),'Look-ups'!$O$3:$S$34,5,FALSE)*VLOOKUP(CONCATENATE($F12,"-",$N$2,"-",Q$3),'Look-ups'!$I$3:$M$24,5,FALSE)</f>
        <v>540</v>
      </c>
      <c r="R12">
        <f>VLOOKUP(CONCATENATE($G12,"-",$F12,"-",$N$2),'Look-ups'!$O$3:$S$34,5,FALSE)*VLOOKUP(CONCATENATE($F12,"-",$N$2,"-",R$3),'Look-ups'!$I$3:$M$24,5,FALSE)</f>
        <v>615</v>
      </c>
      <c r="S12" s="117">
        <f>VLOOKUP(CONCATENATE($G12,"-",$F12,"-Lone Person"),'Look-ups'!$Y$4:$AG$35,5,FALSE)</f>
        <v>107</v>
      </c>
      <c r="T12">
        <f>VLOOKUP(CONCATENATE($G12,"-",$F12,"-Lone Person"),'Look-ups'!$Y$4:$AG$35,6,FALSE)</f>
        <v>153.01000000000002</v>
      </c>
      <c r="U12">
        <f>VLOOKUP(CONCATENATE($G12,"-",$F12,"-Lone Person"),'Look-ups'!$Y$4:$AG$35,7,FALSE)</f>
        <v>182.97</v>
      </c>
      <c r="V12">
        <f>VLOOKUP(CONCATENATE($G12,"-",$F12,"-Lone Person"),'Look-ups'!$Y$4:$AG$35,8,FALSE)</f>
        <v>223.63000000000002</v>
      </c>
      <c r="W12">
        <f>VLOOKUP(CONCATENATE($G12,"-",$F12,"-Lone Person"),'Look-ups'!$Y$4:$AG$35,9,FALSE)</f>
        <v>212.93</v>
      </c>
      <c r="X12" s="117">
        <f>VLOOKUP(CONCATENATE($G12,"-",$F12,"-Couple Only"),'Look-ups'!$Y$4:$AG$35,5,FALSE)</f>
        <v>173.34</v>
      </c>
      <c r="Y12">
        <f>VLOOKUP(CONCATENATE($G12,"-",$F12,"-Couple Only"),'Look-ups'!$Y$4:$AG$35,6,FALSE)</f>
        <v>163.71</v>
      </c>
      <c r="Z12">
        <f>VLOOKUP(CONCATENATE($G12,"-",$F12,"-Couple Only"),'Look-ups'!$Y$4:$AG$35,7,FALSE)</f>
        <v>185.11</v>
      </c>
      <c r="AA12">
        <f>VLOOKUP(CONCATENATE($G12,"-",$F12,"-Couple Only"),'Look-ups'!$Y$4:$AG$35,8,FALSE)</f>
        <v>204.37</v>
      </c>
      <c r="AB12">
        <f>VLOOKUP(CONCATENATE($G12,"-",$F12,"-Couple Only"),'Look-ups'!$Y$4:$AG$35,9,FALSE)</f>
        <v>256.8</v>
      </c>
      <c r="AC12">
        <v>10</v>
      </c>
      <c r="AD12" t="s">
        <v>163</v>
      </c>
      <c r="AE12" s="287">
        <f>VLOOKUP($AD12,'Look-ups'!$A$122:$G$130,5,FALSE)</f>
        <v>9.1436865021770675E-2</v>
      </c>
      <c r="AF12" s="287">
        <f>VLOOKUP($AD12,'Look-ups'!$A$122:$G$130,6,FALSE)</f>
        <v>0.2815674891146589</v>
      </c>
      <c r="AG12" s="287">
        <f>VLOOKUP($AD12,'Look-ups'!$A$122:$G$130,7,FALSE)</f>
        <v>0.62699564586357037</v>
      </c>
      <c r="AH12" s="291">
        <f>VLOOKUP($AC12,'Look-ups'!$A$50:$AO$118,'Look-ups'!$B$133*4,FALSE)*0.277778</f>
        <v>5.039376206978595</v>
      </c>
      <c r="AI12" s="291">
        <f>VLOOKUP($AC12,'Look-ups'!$A$50:$AO$118,'Look-ups'!$B$133*4+1,FALSE)*0.277778</f>
        <v>28.571761793021409</v>
      </c>
      <c r="AJ12" s="291">
        <f>AE12*$AH12/'Look-ups'!$B$141</f>
        <v>0.6023330222633001</v>
      </c>
      <c r="AK12" s="291">
        <f>AF12*$AH12/'Look-ups'!$B$140</f>
        <v>1.9437321990453651</v>
      </c>
      <c r="AL12" s="291">
        <f>AG12*$AH12/'Look-ups'!$B$137</f>
        <v>0.60184132183696259</v>
      </c>
      <c r="AM12" s="291">
        <f>AI12/'Look-ups'!$B$136</f>
        <v>6.0151077458992441</v>
      </c>
      <c r="AN12" s="290">
        <f>AJ12*VLOOKUP($AD12,'Look-ups'!$A$123:$M$130,10,FALSE)</f>
        <v>0.16346648965312335</v>
      </c>
      <c r="AO12" s="290">
        <f>AK12*VLOOKUP($AD12,'Look-ups'!$A$123:$M$130,9,FALSE)</f>
        <v>0.29980514184515522</v>
      </c>
      <c r="AP12" s="290">
        <f>(AL12+AM12)*VLOOKUP($AD12,'Look-ups'!$A$123:$M$130,8,FALSE)</f>
        <v>2.1174237016755861</v>
      </c>
      <c r="AQ12" s="290">
        <f t="shared" si="0"/>
        <v>2.5806953331738649</v>
      </c>
      <c r="AR12" s="292">
        <f>AJ12*VLOOKUP($AD12,'Look-ups'!$A$123:$M$130,11,FALSE)</f>
        <v>2.602151516419916E-3</v>
      </c>
      <c r="AS12" s="292">
        <f>AK12*VLOOKUP($AD12,'Look-ups'!$A$123:$M$130,12,FALSE)</f>
        <v>0.36058796924364644</v>
      </c>
      <c r="AT12" s="292">
        <f>(AL12+AM12)*VLOOKUP($AD12,'Look-ups'!$A$123:$M$130,13,FALSE)</f>
        <v>1.7032026900352997</v>
      </c>
      <c r="AU12" s="292">
        <f t="shared" si="1"/>
        <v>2.066392810795366</v>
      </c>
      <c r="AW12" t="s">
        <v>310</v>
      </c>
      <c r="AY12" t="s">
        <v>1008</v>
      </c>
      <c r="BA12" t="s">
        <v>361</v>
      </c>
      <c r="BE12" t="s">
        <v>389</v>
      </c>
    </row>
    <row r="13" spans="1:67" x14ac:dyDescent="0.25">
      <c r="A13">
        <v>1009</v>
      </c>
      <c r="B13" t="s">
        <v>310</v>
      </c>
      <c r="C13">
        <v>524.90620000000001</v>
      </c>
      <c r="D13">
        <v>18484</v>
      </c>
      <c r="E13">
        <v>35.213910599646184</v>
      </c>
      <c r="F13" t="s">
        <v>172</v>
      </c>
      <c r="G13" t="s">
        <v>163</v>
      </c>
      <c r="H13">
        <f>VLOOKUP(CONCATENATE($G13,"-",$F13,"-",$H$2),'Look-ups'!$O$3:$S$34,5,FALSE)*VLOOKUP(CONCATENATE($F13,"-",$H$2,"-",H$3),'Look-ups'!$I$3:$M$24,5,FALSE)</f>
        <v>316</v>
      </c>
      <c r="I13">
        <f>VLOOKUP(CONCATENATE($G13,"-",$F13,"-",$H$2),'Look-ups'!$O$3:$S$34,5,FALSE)*VLOOKUP(CONCATENATE($F13,"-",$H$2,"-",I$3),'Look-ups'!$I$3:$M$24,5,FALSE)</f>
        <v>474</v>
      </c>
      <c r="J13">
        <f>VLOOKUP(CONCATENATE($G13,"-",$F13,"-",$H$2),'Look-ups'!$O$3:$S$34,5,FALSE)*VLOOKUP(CONCATENATE($F13,"-",$H$2,"-",J$3),'Look-ups'!$I$3:$M$24,5,FALSE)</f>
        <v>553</v>
      </c>
      <c r="K13">
        <f>VLOOKUP(CONCATENATE($G13,"-",$F13,"-",$H$2),'Look-ups'!$O$3:$S$34,5,FALSE)*VLOOKUP(CONCATENATE($F13,"-",$H$2,"-",K$3),'Look-ups'!$I$3:$M$24,5,FALSE)</f>
        <v>711</v>
      </c>
      <c r="L13">
        <f>VLOOKUP(CONCATENATE($G13,"-",$F13,"-",$H$2),'Look-ups'!$O$3:$S$34,5,FALSE)*VLOOKUP(CONCATENATE($F13,"-",$H$2,"-",L$3),'Look-ups'!$I$3:$M$24,5,FALSE)</f>
        <v>790</v>
      </c>
      <c r="M13">
        <f>VLOOKUP(CONCATENATE($G13,"-",$F13,"-",$H$2),'Look-ups'!$O$3:$S$34,5,FALSE)*VLOOKUP(CONCATENATE($F13,"-",$H$2,"-",M$3),'Look-ups'!$I$3:$M$24,5,FALSE)</f>
        <v>869</v>
      </c>
      <c r="N13">
        <f>VLOOKUP(CONCATENATE($G13,"-",$F13,"-",$N$2),'Look-ups'!$O$3:$S$34,5,FALSE)*VLOOKUP(CONCATENATE($F13,"-",$N$2,"-",N$3),'Look-ups'!$I$3:$M$24,5,FALSE)</f>
        <v>315</v>
      </c>
      <c r="O13">
        <f>VLOOKUP(CONCATENATE($G13,"-",$F13,"-",$N$2),'Look-ups'!$O$3:$S$34,5,FALSE)*VLOOKUP(CONCATENATE($F13,"-",$N$2,"-",O$3),'Look-ups'!$I$3:$M$24,5,FALSE)</f>
        <v>315</v>
      </c>
      <c r="P13">
        <f>VLOOKUP(CONCATENATE($G13,"-",$F13,"-",$N$2),'Look-ups'!$O$3:$S$34,5,FALSE)*VLOOKUP(CONCATENATE($F13,"-",$N$2,"-",P$3),'Look-ups'!$I$3:$M$24,5,FALSE)</f>
        <v>420</v>
      </c>
      <c r="Q13">
        <f>VLOOKUP(CONCATENATE($G13,"-",$F13,"-",$N$2),'Look-ups'!$O$3:$S$34,5,FALSE)*VLOOKUP(CONCATENATE($F13,"-",$N$2,"-",Q$3),'Look-ups'!$I$3:$M$24,5,FALSE)</f>
        <v>540</v>
      </c>
      <c r="R13">
        <f>VLOOKUP(CONCATENATE($G13,"-",$F13,"-",$N$2),'Look-ups'!$O$3:$S$34,5,FALSE)*VLOOKUP(CONCATENATE($F13,"-",$N$2,"-",R$3),'Look-ups'!$I$3:$M$24,5,FALSE)</f>
        <v>615</v>
      </c>
      <c r="S13" s="117">
        <f>VLOOKUP(CONCATENATE($G13,"-",$F13,"-Lone Person"),'Look-ups'!$Y$4:$AG$35,5,FALSE)</f>
        <v>107</v>
      </c>
      <c r="T13">
        <f>VLOOKUP(CONCATENATE($G13,"-",$F13,"-Lone Person"),'Look-ups'!$Y$4:$AG$35,6,FALSE)</f>
        <v>153.01000000000002</v>
      </c>
      <c r="U13">
        <f>VLOOKUP(CONCATENATE($G13,"-",$F13,"-Lone Person"),'Look-ups'!$Y$4:$AG$35,7,FALSE)</f>
        <v>182.97</v>
      </c>
      <c r="V13">
        <f>VLOOKUP(CONCATENATE($G13,"-",$F13,"-Lone Person"),'Look-ups'!$Y$4:$AG$35,8,FALSE)</f>
        <v>223.63000000000002</v>
      </c>
      <c r="W13">
        <f>VLOOKUP(CONCATENATE($G13,"-",$F13,"-Lone Person"),'Look-ups'!$Y$4:$AG$35,9,FALSE)</f>
        <v>212.93</v>
      </c>
      <c r="X13" s="117">
        <f>VLOOKUP(CONCATENATE($G13,"-",$F13,"-Couple Only"),'Look-ups'!$Y$4:$AG$35,5,FALSE)</f>
        <v>173.34</v>
      </c>
      <c r="Y13">
        <f>VLOOKUP(CONCATENATE($G13,"-",$F13,"-Couple Only"),'Look-ups'!$Y$4:$AG$35,6,FALSE)</f>
        <v>163.71</v>
      </c>
      <c r="Z13">
        <f>VLOOKUP(CONCATENATE($G13,"-",$F13,"-Couple Only"),'Look-ups'!$Y$4:$AG$35,7,FALSE)</f>
        <v>185.11</v>
      </c>
      <c r="AA13">
        <f>VLOOKUP(CONCATENATE($G13,"-",$F13,"-Couple Only"),'Look-ups'!$Y$4:$AG$35,8,FALSE)</f>
        <v>204.37</v>
      </c>
      <c r="AB13">
        <f>VLOOKUP(CONCATENATE($G13,"-",$F13,"-Couple Only"),'Look-ups'!$Y$4:$AG$35,9,FALSE)</f>
        <v>256.8</v>
      </c>
      <c r="AC13">
        <v>15</v>
      </c>
      <c r="AD13" t="s">
        <v>163</v>
      </c>
      <c r="AE13" s="287">
        <f>VLOOKUP($AD13,'Look-ups'!$A$122:$G$130,5,FALSE)</f>
        <v>9.1436865021770675E-2</v>
      </c>
      <c r="AF13" s="287">
        <f>VLOOKUP($AD13,'Look-ups'!$A$122:$G$130,6,FALSE)</f>
        <v>0.2815674891146589</v>
      </c>
      <c r="AG13" s="287">
        <f>VLOOKUP($AD13,'Look-ups'!$A$122:$G$130,7,FALSE)</f>
        <v>0.62699564586357037</v>
      </c>
      <c r="AH13" s="291">
        <f>VLOOKUP($AC13,'Look-ups'!$A$50:$AO$118,'Look-ups'!$B$133*4,FALSE)*0.277778</f>
        <v>18.727289044025561</v>
      </c>
      <c r="AI13" s="291">
        <f>VLOOKUP($AC13,'Look-ups'!$A$50:$AO$118,'Look-ups'!$B$133*4+1,FALSE)*0.277778</f>
        <v>17.939406955974444</v>
      </c>
      <c r="AJ13" s="291">
        <f>AE13*$AH13/'Look-ups'!$B$141</f>
        <v>2.2383850987480396</v>
      </c>
      <c r="AK13" s="291">
        <f>AF13*$AH13/'Look-ups'!$B$140</f>
        <v>7.223281854864025</v>
      </c>
      <c r="AL13" s="291">
        <f>AG13*$AH13/'Look-ups'!$B$137</f>
        <v>2.2365578456062041</v>
      </c>
      <c r="AM13" s="291">
        <f>AI13/'Look-ups'!$B$136</f>
        <v>3.7767172538893568</v>
      </c>
      <c r="AN13" s="290">
        <f>AJ13*VLOOKUP($AD13,'Look-ups'!$A$123:$M$130,10,FALSE)</f>
        <v>0.60747284485467623</v>
      </c>
      <c r="AO13" s="290">
        <f>AK13*VLOOKUP($AD13,'Look-ups'!$A$123:$M$130,9,FALSE)</f>
        <v>1.114133439857937</v>
      </c>
      <c r="AP13" s="290">
        <f>(AL13+AM13)*VLOOKUP($AD13,'Look-ups'!$A$123:$M$130,8,FALSE)</f>
        <v>1.9242480318385793</v>
      </c>
      <c r="AQ13" s="290">
        <f t="shared" si="0"/>
        <v>3.6458543165511923</v>
      </c>
      <c r="AR13" s="292">
        <f>AJ13*VLOOKUP($AD13,'Look-ups'!$A$123:$M$130,11,FALSE)</f>
        <v>9.6700943892344283E-3</v>
      </c>
      <c r="AS13" s="292">
        <f>AK13*VLOOKUP($AD13,'Look-ups'!$A$123:$M$130,12,FALSE)</f>
        <v>1.340014090726656</v>
      </c>
      <c r="AT13" s="292">
        <f>(AL13+AM13)*VLOOKUP($AD13,'Look-ups'!$A$123:$M$130,13,FALSE)</f>
        <v>1.5478170106101574</v>
      </c>
      <c r="AU13" s="292">
        <f t="shared" si="1"/>
        <v>2.8975011957260479</v>
      </c>
      <c r="AW13" t="s">
        <v>311</v>
      </c>
      <c r="AY13" t="s">
        <v>343</v>
      </c>
      <c r="BA13" t="s">
        <v>362</v>
      </c>
      <c r="BE13" t="s">
        <v>390</v>
      </c>
    </row>
    <row r="14" spans="1:67" x14ac:dyDescent="0.25">
      <c r="A14">
        <v>1010</v>
      </c>
      <c r="B14" t="s">
        <v>311</v>
      </c>
      <c r="C14">
        <v>1334.2426</v>
      </c>
      <c r="D14">
        <v>343180</v>
      </c>
      <c r="E14">
        <v>257.20959591606504</v>
      </c>
      <c r="F14" t="s">
        <v>172</v>
      </c>
      <c r="G14" t="s">
        <v>163</v>
      </c>
      <c r="H14">
        <f>VLOOKUP(CONCATENATE($G14,"-",$F14,"-",$H$2),'Look-ups'!$O$3:$S$34,5,FALSE)*VLOOKUP(CONCATENATE($F14,"-",$H$2,"-",H$3),'Look-ups'!$I$3:$M$24,5,FALSE)</f>
        <v>316</v>
      </c>
      <c r="I14">
        <f>VLOOKUP(CONCATENATE($G14,"-",$F14,"-",$H$2),'Look-ups'!$O$3:$S$34,5,FALSE)*VLOOKUP(CONCATENATE($F14,"-",$H$2,"-",I$3),'Look-ups'!$I$3:$M$24,5,FALSE)</f>
        <v>474</v>
      </c>
      <c r="J14">
        <f>VLOOKUP(CONCATENATE($G14,"-",$F14,"-",$H$2),'Look-ups'!$O$3:$S$34,5,FALSE)*VLOOKUP(CONCATENATE($F14,"-",$H$2,"-",J$3),'Look-ups'!$I$3:$M$24,5,FALSE)</f>
        <v>553</v>
      </c>
      <c r="K14">
        <f>VLOOKUP(CONCATENATE($G14,"-",$F14,"-",$H$2),'Look-ups'!$O$3:$S$34,5,FALSE)*VLOOKUP(CONCATENATE($F14,"-",$H$2,"-",K$3),'Look-ups'!$I$3:$M$24,5,FALSE)</f>
        <v>711</v>
      </c>
      <c r="L14">
        <f>VLOOKUP(CONCATENATE($G14,"-",$F14,"-",$H$2),'Look-ups'!$O$3:$S$34,5,FALSE)*VLOOKUP(CONCATENATE($F14,"-",$H$2,"-",L$3),'Look-ups'!$I$3:$M$24,5,FALSE)</f>
        <v>790</v>
      </c>
      <c r="M14">
        <f>VLOOKUP(CONCATENATE($G14,"-",$F14,"-",$H$2),'Look-ups'!$O$3:$S$34,5,FALSE)*VLOOKUP(CONCATENATE($F14,"-",$H$2,"-",M$3),'Look-ups'!$I$3:$M$24,5,FALSE)</f>
        <v>869</v>
      </c>
      <c r="N14">
        <f>VLOOKUP(CONCATENATE($G14,"-",$F14,"-",$N$2),'Look-ups'!$O$3:$S$34,5,FALSE)*VLOOKUP(CONCATENATE($F14,"-",$N$2,"-",N$3),'Look-ups'!$I$3:$M$24,5,FALSE)</f>
        <v>315</v>
      </c>
      <c r="O14">
        <f>VLOOKUP(CONCATENATE($G14,"-",$F14,"-",$N$2),'Look-ups'!$O$3:$S$34,5,FALSE)*VLOOKUP(CONCATENATE($F14,"-",$N$2,"-",O$3),'Look-ups'!$I$3:$M$24,5,FALSE)</f>
        <v>315</v>
      </c>
      <c r="P14">
        <f>VLOOKUP(CONCATENATE($G14,"-",$F14,"-",$N$2),'Look-ups'!$O$3:$S$34,5,FALSE)*VLOOKUP(CONCATENATE($F14,"-",$N$2,"-",P$3),'Look-ups'!$I$3:$M$24,5,FALSE)</f>
        <v>420</v>
      </c>
      <c r="Q14">
        <f>VLOOKUP(CONCATENATE($G14,"-",$F14,"-",$N$2),'Look-ups'!$O$3:$S$34,5,FALSE)*VLOOKUP(CONCATENATE($F14,"-",$N$2,"-",Q$3),'Look-ups'!$I$3:$M$24,5,FALSE)</f>
        <v>540</v>
      </c>
      <c r="R14">
        <f>VLOOKUP(CONCATENATE($G14,"-",$F14,"-",$N$2),'Look-ups'!$O$3:$S$34,5,FALSE)*VLOOKUP(CONCATENATE($F14,"-",$N$2,"-",R$3),'Look-ups'!$I$3:$M$24,5,FALSE)</f>
        <v>615</v>
      </c>
      <c r="S14" s="117">
        <f>VLOOKUP(CONCATENATE($G14,"-",$F14,"-Lone Person"),'Look-ups'!$Y$4:$AG$35,5,FALSE)</f>
        <v>107</v>
      </c>
      <c r="T14">
        <f>VLOOKUP(CONCATENATE($G14,"-",$F14,"-Lone Person"),'Look-ups'!$Y$4:$AG$35,6,FALSE)</f>
        <v>153.01000000000002</v>
      </c>
      <c r="U14">
        <f>VLOOKUP(CONCATENATE($G14,"-",$F14,"-Lone Person"),'Look-ups'!$Y$4:$AG$35,7,FALSE)</f>
        <v>182.97</v>
      </c>
      <c r="V14">
        <f>VLOOKUP(CONCATENATE($G14,"-",$F14,"-Lone Person"),'Look-ups'!$Y$4:$AG$35,8,FALSE)</f>
        <v>223.63000000000002</v>
      </c>
      <c r="W14">
        <f>VLOOKUP(CONCATENATE($G14,"-",$F14,"-Lone Person"),'Look-ups'!$Y$4:$AG$35,9,FALSE)</f>
        <v>212.93</v>
      </c>
      <c r="X14" s="117">
        <f>VLOOKUP(CONCATENATE($G14,"-",$F14,"-Couple Only"),'Look-ups'!$Y$4:$AG$35,5,FALSE)</f>
        <v>173.34</v>
      </c>
      <c r="Y14">
        <f>VLOOKUP(CONCATENATE($G14,"-",$F14,"-Couple Only"),'Look-ups'!$Y$4:$AG$35,6,FALSE)</f>
        <v>163.71</v>
      </c>
      <c r="Z14">
        <f>VLOOKUP(CONCATENATE($G14,"-",$F14,"-Couple Only"),'Look-ups'!$Y$4:$AG$35,7,FALSE)</f>
        <v>185.11</v>
      </c>
      <c r="AA14">
        <f>VLOOKUP(CONCATENATE($G14,"-",$F14,"-Couple Only"),'Look-ups'!$Y$4:$AG$35,8,FALSE)</f>
        <v>204.37</v>
      </c>
      <c r="AB14">
        <f>VLOOKUP(CONCATENATE($G14,"-",$F14,"-Couple Only"),'Look-ups'!$Y$4:$AG$35,9,FALSE)</f>
        <v>256.8</v>
      </c>
      <c r="AC14">
        <v>15</v>
      </c>
      <c r="AD14" t="s">
        <v>163</v>
      </c>
      <c r="AE14" s="287">
        <f>VLOOKUP($AD14,'Look-ups'!$A$122:$G$130,5,FALSE)</f>
        <v>9.1436865021770675E-2</v>
      </c>
      <c r="AF14" s="287">
        <f>VLOOKUP($AD14,'Look-ups'!$A$122:$G$130,6,FALSE)</f>
        <v>0.2815674891146589</v>
      </c>
      <c r="AG14" s="287">
        <f>VLOOKUP($AD14,'Look-ups'!$A$122:$G$130,7,FALSE)</f>
        <v>0.62699564586357037</v>
      </c>
      <c r="AH14" s="291">
        <f>VLOOKUP($AC14,'Look-ups'!$A$50:$AO$118,'Look-ups'!$B$133*4,FALSE)*0.277778</f>
        <v>18.727289044025561</v>
      </c>
      <c r="AI14" s="291">
        <f>VLOOKUP($AC14,'Look-ups'!$A$50:$AO$118,'Look-ups'!$B$133*4+1,FALSE)*0.277778</f>
        <v>17.939406955974444</v>
      </c>
      <c r="AJ14" s="291">
        <f>AE14*$AH14/'Look-ups'!$B$141</f>
        <v>2.2383850987480396</v>
      </c>
      <c r="AK14" s="291">
        <f>AF14*$AH14/'Look-ups'!$B$140</f>
        <v>7.223281854864025</v>
      </c>
      <c r="AL14" s="291">
        <f>AG14*$AH14/'Look-ups'!$B$137</f>
        <v>2.2365578456062041</v>
      </c>
      <c r="AM14" s="291">
        <f>AI14/'Look-ups'!$B$136</f>
        <v>3.7767172538893568</v>
      </c>
      <c r="AN14" s="290">
        <f>AJ14*VLOOKUP($AD14,'Look-ups'!$A$123:$M$130,10,FALSE)</f>
        <v>0.60747284485467623</v>
      </c>
      <c r="AO14" s="290">
        <f>AK14*VLOOKUP($AD14,'Look-ups'!$A$123:$M$130,9,FALSE)</f>
        <v>1.114133439857937</v>
      </c>
      <c r="AP14" s="290">
        <f>(AL14+AM14)*VLOOKUP($AD14,'Look-ups'!$A$123:$M$130,8,FALSE)</f>
        <v>1.9242480318385793</v>
      </c>
      <c r="AQ14" s="290">
        <f t="shared" si="0"/>
        <v>3.6458543165511923</v>
      </c>
      <c r="AR14" s="292">
        <f>AJ14*VLOOKUP($AD14,'Look-ups'!$A$123:$M$130,11,FALSE)</f>
        <v>9.6700943892344283E-3</v>
      </c>
      <c r="AS14" s="292">
        <f>AK14*VLOOKUP($AD14,'Look-ups'!$A$123:$M$130,12,FALSE)</f>
        <v>1.340014090726656</v>
      </c>
      <c r="AT14" s="292">
        <f>(AL14+AM14)*VLOOKUP($AD14,'Look-ups'!$A$123:$M$130,13,FALSE)</f>
        <v>1.5478170106101574</v>
      </c>
      <c r="AU14" s="292">
        <f t="shared" si="1"/>
        <v>2.8975011957260479</v>
      </c>
      <c r="AW14" t="s">
        <v>312</v>
      </c>
      <c r="AY14" t="s">
        <v>344</v>
      </c>
      <c r="BA14" t="s">
        <v>363</v>
      </c>
    </row>
    <row r="15" spans="1:67" x14ac:dyDescent="0.25">
      <c r="A15">
        <v>1011</v>
      </c>
      <c r="B15" t="s">
        <v>312</v>
      </c>
      <c r="C15">
        <v>505.52280000000002</v>
      </c>
      <c r="D15">
        <v>74195</v>
      </c>
      <c r="E15">
        <v>146.76884999054442</v>
      </c>
      <c r="F15" t="s">
        <v>172</v>
      </c>
      <c r="G15" t="s">
        <v>163</v>
      </c>
      <c r="H15">
        <f>VLOOKUP(CONCATENATE($G15,"-",$F15,"-",$H$2),'Look-ups'!$O$3:$S$34,5,FALSE)*VLOOKUP(CONCATENATE($F15,"-",$H$2,"-",H$3),'Look-ups'!$I$3:$M$24,5,FALSE)</f>
        <v>316</v>
      </c>
      <c r="I15">
        <f>VLOOKUP(CONCATENATE($G15,"-",$F15,"-",$H$2),'Look-ups'!$O$3:$S$34,5,FALSE)*VLOOKUP(CONCATENATE($F15,"-",$H$2,"-",I$3),'Look-ups'!$I$3:$M$24,5,FALSE)</f>
        <v>474</v>
      </c>
      <c r="J15">
        <f>VLOOKUP(CONCATENATE($G15,"-",$F15,"-",$H$2),'Look-ups'!$O$3:$S$34,5,FALSE)*VLOOKUP(CONCATENATE($F15,"-",$H$2,"-",J$3),'Look-ups'!$I$3:$M$24,5,FALSE)</f>
        <v>553</v>
      </c>
      <c r="K15">
        <f>VLOOKUP(CONCATENATE($G15,"-",$F15,"-",$H$2),'Look-ups'!$O$3:$S$34,5,FALSE)*VLOOKUP(CONCATENATE($F15,"-",$H$2,"-",K$3),'Look-ups'!$I$3:$M$24,5,FALSE)</f>
        <v>711</v>
      </c>
      <c r="L15">
        <f>VLOOKUP(CONCATENATE($G15,"-",$F15,"-",$H$2),'Look-ups'!$O$3:$S$34,5,FALSE)*VLOOKUP(CONCATENATE($F15,"-",$H$2,"-",L$3),'Look-ups'!$I$3:$M$24,5,FALSE)</f>
        <v>790</v>
      </c>
      <c r="M15">
        <f>VLOOKUP(CONCATENATE($G15,"-",$F15,"-",$H$2),'Look-ups'!$O$3:$S$34,5,FALSE)*VLOOKUP(CONCATENATE($F15,"-",$H$2,"-",M$3),'Look-ups'!$I$3:$M$24,5,FALSE)</f>
        <v>869</v>
      </c>
      <c r="N15">
        <f>VLOOKUP(CONCATENATE($G15,"-",$F15,"-",$N$2),'Look-ups'!$O$3:$S$34,5,FALSE)*VLOOKUP(CONCATENATE($F15,"-",$N$2,"-",N$3),'Look-ups'!$I$3:$M$24,5,FALSE)</f>
        <v>315</v>
      </c>
      <c r="O15">
        <f>VLOOKUP(CONCATENATE($G15,"-",$F15,"-",$N$2),'Look-ups'!$O$3:$S$34,5,FALSE)*VLOOKUP(CONCATENATE($F15,"-",$N$2,"-",O$3),'Look-ups'!$I$3:$M$24,5,FALSE)</f>
        <v>315</v>
      </c>
      <c r="P15">
        <f>VLOOKUP(CONCATENATE($G15,"-",$F15,"-",$N$2),'Look-ups'!$O$3:$S$34,5,FALSE)*VLOOKUP(CONCATENATE($F15,"-",$N$2,"-",P$3),'Look-ups'!$I$3:$M$24,5,FALSE)</f>
        <v>420</v>
      </c>
      <c r="Q15">
        <f>VLOOKUP(CONCATENATE($G15,"-",$F15,"-",$N$2),'Look-ups'!$O$3:$S$34,5,FALSE)*VLOOKUP(CONCATENATE($F15,"-",$N$2,"-",Q$3),'Look-ups'!$I$3:$M$24,5,FALSE)</f>
        <v>540</v>
      </c>
      <c r="R15">
        <f>VLOOKUP(CONCATENATE($G15,"-",$F15,"-",$N$2),'Look-ups'!$O$3:$S$34,5,FALSE)*VLOOKUP(CONCATENATE($F15,"-",$N$2,"-",R$3),'Look-ups'!$I$3:$M$24,5,FALSE)</f>
        <v>615</v>
      </c>
      <c r="S15" s="117">
        <f>VLOOKUP(CONCATENATE($G15,"-",$F15,"-Lone Person"),'Look-ups'!$Y$4:$AG$35,5,FALSE)</f>
        <v>107</v>
      </c>
      <c r="T15">
        <f>VLOOKUP(CONCATENATE($G15,"-",$F15,"-Lone Person"),'Look-ups'!$Y$4:$AG$35,6,FALSE)</f>
        <v>153.01000000000002</v>
      </c>
      <c r="U15">
        <f>VLOOKUP(CONCATENATE($G15,"-",$F15,"-Lone Person"),'Look-ups'!$Y$4:$AG$35,7,FALSE)</f>
        <v>182.97</v>
      </c>
      <c r="V15">
        <f>VLOOKUP(CONCATENATE($G15,"-",$F15,"-Lone Person"),'Look-ups'!$Y$4:$AG$35,8,FALSE)</f>
        <v>223.63000000000002</v>
      </c>
      <c r="W15">
        <f>VLOOKUP(CONCATENATE($G15,"-",$F15,"-Lone Person"),'Look-ups'!$Y$4:$AG$35,9,FALSE)</f>
        <v>212.93</v>
      </c>
      <c r="X15" s="117">
        <f>VLOOKUP(CONCATENATE($G15,"-",$F15,"-Couple Only"),'Look-ups'!$Y$4:$AG$35,5,FALSE)</f>
        <v>173.34</v>
      </c>
      <c r="Y15">
        <f>VLOOKUP(CONCATENATE($G15,"-",$F15,"-Couple Only"),'Look-ups'!$Y$4:$AG$35,6,FALSE)</f>
        <v>163.71</v>
      </c>
      <c r="Z15">
        <f>VLOOKUP(CONCATENATE($G15,"-",$F15,"-Couple Only"),'Look-ups'!$Y$4:$AG$35,7,FALSE)</f>
        <v>185.11</v>
      </c>
      <c r="AA15">
        <f>VLOOKUP(CONCATENATE($G15,"-",$F15,"-Couple Only"),'Look-ups'!$Y$4:$AG$35,8,FALSE)</f>
        <v>204.37</v>
      </c>
      <c r="AB15">
        <f>VLOOKUP(CONCATENATE($G15,"-",$F15,"-Couple Only"),'Look-ups'!$Y$4:$AG$35,9,FALSE)</f>
        <v>256.8</v>
      </c>
      <c r="AC15">
        <v>11</v>
      </c>
      <c r="AD15" t="s">
        <v>163</v>
      </c>
      <c r="AE15" s="287">
        <f>VLOOKUP($AD15,'Look-ups'!$A$122:$G$130,5,FALSE)</f>
        <v>9.1436865021770675E-2</v>
      </c>
      <c r="AF15" s="287">
        <f>VLOOKUP($AD15,'Look-ups'!$A$122:$G$130,6,FALSE)</f>
        <v>0.2815674891146589</v>
      </c>
      <c r="AG15" s="287">
        <f>VLOOKUP($AD15,'Look-ups'!$A$122:$G$130,7,FALSE)</f>
        <v>0.62699564586357037</v>
      </c>
      <c r="AH15" s="291">
        <f>VLOOKUP($AC15,'Look-ups'!$A$50:$AO$118,'Look-ups'!$B$133*4,FALSE)*0.277778</f>
        <v>7.7194943287466682</v>
      </c>
      <c r="AI15" s="291">
        <f>VLOOKUP($AC15,'Look-ups'!$A$50:$AO$118,'Look-ups'!$B$133*4+1,FALSE)*0.277778</f>
        <v>18.947193671253334</v>
      </c>
      <c r="AJ15" s="291">
        <f>AE15*$AH15/'Look-ups'!$B$141</f>
        <v>0.9226749816652724</v>
      </c>
      <c r="AK15" s="291">
        <f>AF15*$AH15/'Look-ups'!$B$140</f>
        <v>2.9774775827123952</v>
      </c>
      <c r="AL15" s="291">
        <f>AG15*$AH15/'Look-ups'!$B$137</f>
        <v>0.92192177759860683</v>
      </c>
      <c r="AM15" s="291">
        <f>AI15/'Look-ups'!$B$136</f>
        <v>3.9888828781585968</v>
      </c>
      <c r="AN15" s="290">
        <f>AJ15*VLOOKUP($AD15,'Look-ups'!$A$123:$M$130,10,FALSE)</f>
        <v>0.25040373807971417</v>
      </c>
      <c r="AO15" s="290">
        <f>AK15*VLOOKUP($AD15,'Look-ups'!$A$123:$M$130,9,FALSE)</f>
        <v>0.45925209731272532</v>
      </c>
      <c r="AP15" s="290">
        <f>(AL15+AM15)*VLOOKUP($AD15,'Look-ups'!$A$123:$M$130,8,FALSE)</f>
        <v>1.5714574898423053</v>
      </c>
      <c r="AQ15" s="290">
        <f t="shared" si="0"/>
        <v>2.2811133252347449</v>
      </c>
      <c r="AR15" s="292">
        <f>AJ15*VLOOKUP($AD15,'Look-ups'!$A$123:$M$130,11,FALSE)</f>
        <v>3.9860675306848357E-3</v>
      </c>
      <c r="AS15" s="292">
        <f>AK15*VLOOKUP($AD15,'Look-ups'!$A$123:$M$130,12,FALSE)</f>
        <v>0.5523613775323819</v>
      </c>
      <c r="AT15" s="292">
        <f>(AL15+AM15)*VLOOKUP($AD15,'Look-ups'!$A$123:$M$130,13,FALSE)</f>
        <v>1.2640411183919043</v>
      </c>
      <c r="AU15" s="292">
        <f t="shared" si="1"/>
        <v>1.820388563454971</v>
      </c>
      <c r="AW15" t="s">
        <v>313</v>
      </c>
      <c r="AY15" t="s">
        <v>1009</v>
      </c>
      <c r="BA15" t="s">
        <v>364</v>
      </c>
    </row>
    <row r="16" spans="1:67" x14ac:dyDescent="0.25">
      <c r="A16">
        <v>1012</v>
      </c>
      <c r="B16" t="s">
        <v>313</v>
      </c>
      <c r="C16">
        <v>182.5608</v>
      </c>
      <c r="D16">
        <v>40578</v>
      </c>
      <c r="E16">
        <v>222.27115569169285</v>
      </c>
      <c r="F16" t="s">
        <v>172</v>
      </c>
      <c r="G16" t="s">
        <v>163</v>
      </c>
      <c r="H16">
        <f>VLOOKUP(CONCATENATE($G16,"-",$F16,"-",$H$2),'Look-ups'!$O$3:$S$34,5,FALSE)*VLOOKUP(CONCATENATE($F16,"-",$H$2,"-",H$3),'Look-ups'!$I$3:$M$24,5,FALSE)</f>
        <v>316</v>
      </c>
      <c r="I16">
        <f>VLOOKUP(CONCATENATE($G16,"-",$F16,"-",$H$2),'Look-ups'!$O$3:$S$34,5,FALSE)*VLOOKUP(CONCATENATE($F16,"-",$H$2,"-",I$3),'Look-ups'!$I$3:$M$24,5,FALSE)</f>
        <v>474</v>
      </c>
      <c r="J16">
        <f>VLOOKUP(CONCATENATE($G16,"-",$F16,"-",$H$2),'Look-ups'!$O$3:$S$34,5,FALSE)*VLOOKUP(CONCATENATE($F16,"-",$H$2,"-",J$3),'Look-ups'!$I$3:$M$24,5,FALSE)</f>
        <v>553</v>
      </c>
      <c r="K16">
        <f>VLOOKUP(CONCATENATE($G16,"-",$F16,"-",$H$2),'Look-ups'!$O$3:$S$34,5,FALSE)*VLOOKUP(CONCATENATE($F16,"-",$H$2,"-",K$3),'Look-ups'!$I$3:$M$24,5,FALSE)</f>
        <v>711</v>
      </c>
      <c r="L16">
        <f>VLOOKUP(CONCATENATE($G16,"-",$F16,"-",$H$2),'Look-ups'!$O$3:$S$34,5,FALSE)*VLOOKUP(CONCATENATE($F16,"-",$H$2,"-",L$3),'Look-ups'!$I$3:$M$24,5,FALSE)</f>
        <v>790</v>
      </c>
      <c r="M16">
        <f>VLOOKUP(CONCATENATE($G16,"-",$F16,"-",$H$2),'Look-ups'!$O$3:$S$34,5,FALSE)*VLOOKUP(CONCATENATE($F16,"-",$H$2,"-",M$3),'Look-ups'!$I$3:$M$24,5,FALSE)</f>
        <v>869</v>
      </c>
      <c r="N16">
        <f>VLOOKUP(CONCATENATE($G16,"-",$F16,"-",$N$2),'Look-ups'!$O$3:$S$34,5,FALSE)*VLOOKUP(CONCATENATE($F16,"-",$N$2,"-",N$3),'Look-ups'!$I$3:$M$24,5,FALSE)</f>
        <v>315</v>
      </c>
      <c r="O16">
        <f>VLOOKUP(CONCATENATE($G16,"-",$F16,"-",$N$2),'Look-ups'!$O$3:$S$34,5,FALSE)*VLOOKUP(CONCATENATE($F16,"-",$N$2,"-",O$3),'Look-ups'!$I$3:$M$24,5,FALSE)</f>
        <v>315</v>
      </c>
      <c r="P16">
        <f>VLOOKUP(CONCATENATE($G16,"-",$F16,"-",$N$2),'Look-ups'!$O$3:$S$34,5,FALSE)*VLOOKUP(CONCATENATE($F16,"-",$N$2,"-",P$3),'Look-ups'!$I$3:$M$24,5,FALSE)</f>
        <v>420</v>
      </c>
      <c r="Q16">
        <f>VLOOKUP(CONCATENATE($G16,"-",$F16,"-",$N$2),'Look-ups'!$O$3:$S$34,5,FALSE)*VLOOKUP(CONCATENATE($F16,"-",$N$2,"-",Q$3),'Look-ups'!$I$3:$M$24,5,FALSE)</f>
        <v>540</v>
      </c>
      <c r="R16">
        <f>VLOOKUP(CONCATENATE($G16,"-",$F16,"-",$N$2),'Look-ups'!$O$3:$S$34,5,FALSE)*VLOOKUP(CONCATENATE($F16,"-",$N$2,"-",R$3),'Look-ups'!$I$3:$M$24,5,FALSE)</f>
        <v>615</v>
      </c>
      <c r="S16" s="117">
        <f>VLOOKUP(CONCATENATE($G16,"-",$F16,"-Lone Person"),'Look-ups'!$Y$4:$AG$35,5,FALSE)</f>
        <v>107</v>
      </c>
      <c r="T16">
        <f>VLOOKUP(CONCATENATE($G16,"-",$F16,"-Lone Person"),'Look-ups'!$Y$4:$AG$35,6,FALSE)</f>
        <v>153.01000000000002</v>
      </c>
      <c r="U16">
        <f>VLOOKUP(CONCATENATE($G16,"-",$F16,"-Lone Person"),'Look-ups'!$Y$4:$AG$35,7,FALSE)</f>
        <v>182.97</v>
      </c>
      <c r="V16">
        <f>VLOOKUP(CONCATENATE($G16,"-",$F16,"-Lone Person"),'Look-ups'!$Y$4:$AG$35,8,FALSE)</f>
        <v>223.63000000000002</v>
      </c>
      <c r="W16">
        <f>VLOOKUP(CONCATENATE($G16,"-",$F16,"-Lone Person"),'Look-ups'!$Y$4:$AG$35,9,FALSE)</f>
        <v>212.93</v>
      </c>
      <c r="X16" s="117">
        <f>VLOOKUP(CONCATENATE($G16,"-",$F16,"-Couple Only"),'Look-ups'!$Y$4:$AG$35,5,FALSE)</f>
        <v>173.34</v>
      </c>
      <c r="Y16">
        <f>VLOOKUP(CONCATENATE($G16,"-",$F16,"-Couple Only"),'Look-ups'!$Y$4:$AG$35,6,FALSE)</f>
        <v>163.71</v>
      </c>
      <c r="Z16">
        <f>VLOOKUP(CONCATENATE($G16,"-",$F16,"-Couple Only"),'Look-ups'!$Y$4:$AG$35,7,FALSE)</f>
        <v>185.11</v>
      </c>
      <c r="AA16">
        <f>VLOOKUP(CONCATENATE($G16,"-",$F16,"-Couple Only"),'Look-ups'!$Y$4:$AG$35,8,FALSE)</f>
        <v>204.37</v>
      </c>
      <c r="AB16">
        <f>VLOOKUP(CONCATENATE($G16,"-",$F16,"-Couple Only"),'Look-ups'!$Y$4:$AG$35,9,FALSE)</f>
        <v>256.8</v>
      </c>
      <c r="AC16">
        <v>48</v>
      </c>
      <c r="AD16" t="s">
        <v>163</v>
      </c>
      <c r="AE16" s="287">
        <f>VLOOKUP($AD16,'Look-ups'!$A$122:$G$130,5,FALSE)</f>
        <v>9.1436865021770675E-2</v>
      </c>
      <c r="AF16" s="287">
        <f>VLOOKUP($AD16,'Look-ups'!$A$122:$G$130,6,FALSE)</f>
        <v>0.2815674891146589</v>
      </c>
      <c r="AG16" s="287">
        <f>VLOOKUP($AD16,'Look-ups'!$A$122:$G$130,7,FALSE)</f>
        <v>0.62699564586357037</v>
      </c>
      <c r="AH16" s="291">
        <f>VLOOKUP($AC16,'Look-ups'!$A$50:$AO$118,'Look-ups'!$B$133*4,FALSE)*0.277778</f>
        <v>41.709666535398178</v>
      </c>
      <c r="AI16" s="291">
        <f>VLOOKUP($AC16,'Look-ups'!$A$50:$AO$118,'Look-ups'!$B$133*4+1,FALSE)*0.277778</f>
        <v>25.790387464601832</v>
      </c>
      <c r="AJ16" s="291">
        <f>AE16*$AH16/'Look-ups'!$B$141</f>
        <v>4.985360979216038</v>
      </c>
      <c r="AK16" s="291">
        <f>AF16*$AH16/'Look-ups'!$B$140</f>
        <v>16.087789148194219</v>
      </c>
      <c r="AL16" s="291">
        <f>AG16*$AH16/'Look-ups'!$B$137</f>
        <v>4.9812912967840246</v>
      </c>
      <c r="AM16" s="291">
        <f>AI16/'Look-ups'!$B$136</f>
        <v>5.4295552557056483</v>
      </c>
      <c r="AN16" s="290">
        <f>AJ16*VLOOKUP($AD16,'Look-ups'!$A$123:$M$130,10,FALSE)</f>
        <v>1.3529715768594635</v>
      </c>
      <c r="AO16" s="290">
        <f>AK16*VLOOKUP($AD16,'Look-ups'!$A$123:$M$130,9,FALSE)</f>
        <v>2.481412773795773</v>
      </c>
      <c r="AP16" s="290">
        <f>(AL16+AM16)*VLOOKUP($AD16,'Look-ups'!$A$123:$M$130,8,FALSE)</f>
        <v>3.3314708967966955</v>
      </c>
      <c r="AQ16" s="290">
        <f t="shared" si="0"/>
        <v>7.1658552474519315</v>
      </c>
      <c r="AR16" s="292">
        <f>AJ16*VLOOKUP($AD16,'Look-ups'!$A$123:$M$130,11,FALSE)</f>
        <v>2.153736247636262E-2</v>
      </c>
      <c r="AS16" s="292">
        <f>AK16*VLOOKUP($AD16,'Look-ups'!$A$123:$M$130,12,FALSE)</f>
        <v>2.9844971552235595</v>
      </c>
      <c r="AT16" s="292">
        <f>(AL16+AM16)*VLOOKUP($AD16,'Look-ups'!$A$123:$M$130,13,FALSE)</f>
        <v>2.6797519026108421</v>
      </c>
      <c r="AU16" s="292">
        <f t="shared" si="1"/>
        <v>5.6857864203107642</v>
      </c>
      <c r="AW16" t="s">
        <v>314</v>
      </c>
      <c r="AY16" t="s">
        <v>345</v>
      </c>
      <c r="BA16" t="s">
        <v>365</v>
      </c>
    </row>
    <row r="17" spans="1:53" x14ac:dyDescent="0.25">
      <c r="A17">
        <v>1013</v>
      </c>
      <c r="B17" t="s">
        <v>314</v>
      </c>
      <c r="C17">
        <v>49.5428</v>
      </c>
      <c r="D17">
        <v>21087</v>
      </c>
      <c r="E17">
        <v>425.63197881427777</v>
      </c>
      <c r="F17" t="s">
        <v>172</v>
      </c>
      <c r="G17" t="s">
        <v>163</v>
      </c>
      <c r="H17">
        <f>VLOOKUP(CONCATENATE($G17,"-",$F17,"-",$H$2),'Look-ups'!$O$3:$S$34,5,FALSE)*VLOOKUP(CONCATENATE($F17,"-",$H$2,"-",H$3),'Look-ups'!$I$3:$M$24,5,FALSE)</f>
        <v>316</v>
      </c>
      <c r="I17">
        <f>VLOOKUP(CONCATENATE($G17,"-",$F17,"-",$H$2),'Look-ups'!$O$3:$S$34,5,FALSE)*VLOOKUP(CONCATENATE($F17,"-",$H$2,"-",I$3),'Look-ups'!$I$3:$M$24,5,FALSE)</f>
        <v>474</v>
      </c>
      <c r="J17">
        <f>VLOOKUP(CONCATENATE($G17,"-",$F17,"-",$H$2),'Look-ups'!$O$3:$S$34,5,FALSE)*VLOOKUP(CONCATENATE($F17,"-",$H$2,"-",J$3),'Look-ups'!$I$3:$M$24,5,FALSE)</f>
        <v>553</v>
      </c>
      <c r="K17">
        <f>VLOOKUP(CONCATENATE($G17,"-",$F17,"-",$H$2),'Look-ups'!$O$3:$S$34,5,FALSE)*VLOOKUP(CONCATENATE($F17,"-",$H$2,"-",K$3),'Look-ups'!$I$3:$M$24,5,FALSE)</f>
        <v>711</v>
      </c>
      <c r="L17">
        <f>VLOOKUP(CONCATENATE($G17,"-",$F17,"-",$H$2),'Look-ups'!$O$3:$S$34,5,FALSE)*VLOOKUP(CONCATENATE($F17,"-",$H$2,"-",L$3),'Look-ups'!$I$3:$M$24,5,FALSE)</f>
        <v>790</v>
      </c>
      <c r="M17">
        <f>VLOOKUP(CONCATENATE($G17,"-",$F17,"-",$H$2),'Look-ups'!$O$3:$S$34,5,FALSE)*VLOOKUP(CONCATENATE($F17,"-",$H$2,"-",M$3),'Look-ups'!$I$3:$M$24,5,FALSE)</f>
        <v>869</v>
      </c>
      <c r="N17">
        <f>VLOOKUP(CONCATENATE($G17,"-",$F17,"-",$N$2),'Look-ups'!$O$3:$S$34,5,FALSE)*VLOOKUP(CONCATENATE($F17,"-",$N$2,"-",N$3),'Look-ups'!$I$3:$M$24,5,FALSE)</f>
        <v>315</v>
      </c>
      <c r="O17">
        <f>VLOOKUP(CONCATENATE($G17,"-",$F17,"-",$N$2),'Look-ups'!$O$3:$S$34,5,FALSE)*VLOOKUP(CONCATENATE($F17,"-",$N$2,"-",O$3),'Look-ups'!$I$3:$M$24,5,FALSE)</f>
        <v>315</v>
      </c>
      <c r="P17">
        <f>VLOOKUP(CONCATENATE($G17,"-",$F17,"-",$N$2),'Look-ups'!$O$3:$S$34,5,FALSE)*VLOOKUP(CONCATENATE($F17,"-",$N$2,"-",P$3),'Look-ups'!$I$3:$M$24,5,FALSE)</f>
        <v>420</v>
      </c>
      <c r="Q17">
        <f>VLOOKUP(CONCATENATE($G17,"-",$F17,"-",$N$2),'Look-ups'!$O$3:$S$34,5,FALSE)*VLOOKUP(CONCATENATE($F17,"-",$N$2,"-",Q$3),'Look-ups'!$I$3:$M$24,5,FALSE)</f>
        <v>540</v>
      </c>
      <c r="R17">
        <f>VLOOKUP(CONCATENATE($G17,"-",$F17,"-",$N$2),'Look-ups'!$O$3:$S$34,5,FALSE)*VLOOKUP(CONCATENATE($F17,"-",$N$2,"-",R$3),'Look-ups'!$I$3:$M$24,5,FALSE)</f>
        <v>615</v>
      </c>
      <c r="S17" s="117">
        <f>VLOOKUP(CONCATENATE($G17,"-",$F17,"-Lone Person"),'Look-ups'!$Y$4:$AG$35,5,FALSE)</f>
        <v>107</v>
      </c>
      <c r="T17">
        <f>VLOOKUP(CONCATENATE($G17,"-",$F17,"-Lone Person"),'Look-ups'!$Y$4:$AG$35,6,FALSE)</f>
        <v>153.01000000000002</v>
      </c>
      <c r="U17">
        <f>VLOOKUP(CONCATENATE($G17,"-",$F17,"-Lone Person"),'Look-ups'!$Y$4:$AG$35,7,FALSE)</f>
        <v>182.97</v>
      </c>
      <c r="V17">
        <f>VLOOKUP(CONCATENATE($G17,"-",$F17,"-Lone Person"),'Look-ups'!$Y$4:$AG$35,8,FALSE)</f>
        <v>223.63000000000002</v>
      </c>
      <c r="W17">
        <f>VLOOKUP(CONCATENATE($G17,"-",$F17,"-Lone Person"),'Look-ups'!$Y$4:$AG$35,9,FALSE)</f>
        <v>212.93</v>
      </c>
      <c r="X17" s="117">
        <f>VLOOKUP(CONCATENATE($G17,"-",$F17,"-Couple Only"),'Look-ups'!$Y$4:$AG$35,5,FALSE)</f>
        <v>173.34</v>
      </c>
      <c r="Y17">
        <f>VLOOKUP(CONCATENATE($G17,"-",$F17,"-Couple Only"),'Look-ups'!$Y$4:$AG$35,6,FALSE)</f>
        <v>163.71</v>
      </c>
      <c r="Z17">
        <f>VLOOKUP(CONCATENATE($G17,"-",$F17,"-Couple Only"),'Look-ups'!$Y$4:$AG$35,7,FALSE)</f>
        <v>185.11</v>
      </c>
      <c r="AA17">
        <f>VLOOKUP(CONCATENATE($G17,"-",$F17,"-Couple Only"),'Look-ups'!$Y$4:$AG$35,8,FALSE)</f>
        <v>204.37</v>
      </c>
      <c r="AB17">
        <f>VLOOKUP(CONCATENATE($G17,"-",$F17,"-Couple Only"),'Look-ups'!$Y$4:$AG$35,9,FALSE)</f>
        <v>256.8</v>
      </c>
      <c r="AC17">
        <v>15</v>
      </c>
      <c r="AD17" t="s">
        <v>163</v>
      </c>
      <c r="AE17" s="287">
        <f>VLOOKUP($AD17,'Look-ups'!$A$122:$G$130,5,FALSE)</f>
        <v>9.1436865021770675E-2</v>
      </c>
      <c r="AF17" s="287">
        <f>VLOOKUP($AD17,'Look-ups'!$A$122:$G$130,6,FALSE)</f>
        <v>0.2815674891146589</v>
      </c>
      <c r="AG17" s="287">
        <f>VLOOKUP($AD17,'Look-ups'!$A$122:$G$130,7,FALSE)</f>
        <v>0.62699564586357037</v>
      </c>
      <c r="AH17" s="291">
        <f>VLOOKUP($AC17,'Look-ups'!$A$50:$AO$118,'Look-ups'!$B$133*4,FALSE)*0.277778</f>
        <v>18.727289044025561</v>
      </c>
      <c r="AI17" s="291">
        <f>VLOOKUP($AC17,'Look-ups'!$A$50:$AO$118,'Look-ups'!$B$133*4+1,FALSE)*0.277778</f>
        <v>17.939406955974444</v>
      </c>
      <c r="AJ17" s="291">
        <f>AE17*$AH17/'Look-ups'!$B$141</f>
        <v>2.2383850987480396</v>
      </c>
      <c r="AK17" s="291">
        <f>AF17*$AH17/'Look-ups'!$B$140</f>
        <v>7.223281854864025</v>
      </c>
      <c r="AL17" s="291">
        <f>AG17*$AH17/'Look-ups'!$B$137</f>
        <v>2.2365578456062041</v>
      </c>
      <c r="AM17" s="291">
        <f>AI17/'Look-ups'!$B$136</f>
        <v>3.7767172538893568</v>
      </c>
      <c r="AN17" s="290">
        <f>AJ17*VLOOKUP($AD17,'Look-ups'!$A$123:$M$130,10,FALSE)</f>
        <v>0.60747284485467623</v>
      </c>
      <c r="AO17" s="290">
        <f>AK17*VLOOKUP($AD17,'Look-ups'!$A$123:$M$130,9,FALSE)</f>
        <v>1.114133439857937</v>
      </c>
      <c r="AP17" s="290">
        <f>(AL17+AM17)*VLOOKUP($AD17,'Look-ups'!$A$123:$M$130,8,FALSE)</f>
        <v>1.9242480318385793</v>
      </c>
      <c r="AQ17" s="290">
        <f t="shared" si="0"/>
        <v>3.6458543165511923</v>
      </c>
      <c r="AR17" s="292">
        <f>AJ17*VLOOKUP($AD17,'Look-ups'!$A$123:$M$130,11,FALSE)</f>
        <v>9.6700943892344283E-3</v>
      </c>
      <c r="AS17" s="292">
        <f>AK17*VLOOKUP($AD17,'Look-ups'!$A$123:$M$130,12,FALSE)</f>
        <v>1.340014090726656</v>
      </c>
      <c r="AT17" s="292">
        <f>(AL17+AM17)*VLOOKUP($AD17,'Look-ups'!$A$123:$M$130,13,FALSE)</f>
        <v>1.5478170106101574</v>
      </c>
      <c r="AU17" s="292">
        <f t="shared" si="1"/>
        <v>2.8975011957260479</v>
      </c>
      <c r="AW17" t="s">
        <v>315</v>
      </c>
      <c r="AY17" t="s">
        <v>346</v>
      </c>
      <c r="BA17" t="s">
        <v>366</v>
      </c>
    </row>
    <row r="18" spans="1:53" x14ac:dyDescent="0.25">
      <c r="A18">
        <v>1014</v>
      </c>
      <c r="B18" t="s">
        <v>315</v>
      </c>
      <c r="C18">
        <v>64.786500000000004</v>
      </c>
      <c r="D18">
        <v>24565</v>
      </c>
      <c r="E18">
        <v>379.16849961025827</v>
      </c>
      <c r="F18" t="s">
        <v>172</v>
      </c>
      <c r="G18" t="s">
        <v>163</v>
      </c>
      <c r="H18">
        <f>VLOOKUP(CONCATENATE($G18,"-",$F18,"-",$H$2),'Look-ups'!$O$3:$S$34,5,FALSE)*VLOOKUP(CONCATENATE($F18,"-",$H$2,"-",H$3),'Look-ups'!$I$3:$M$24,5,FALSE)</f>
        <v>316</v>
      </c>
      <c r="I18">
        <f>VLOOKUP(CONCATENATE($G18,"-",$F18,"-",$H$2),'Look-ups'!$O$3:$S$34,5,FALSE)*VLOOKUP(CONCATENATE($F18,"-",$H$2,"-",I$3),'Look-ups'!$I$3:$M$24,5,FALSE)</f>
        <v>474</v>
      </c>
      <c r="J18">
        <f>VLOOKUP(CONCATENATE($G18,"-",$F18,"-",$H$2),'Look-ups'!$O$3:$S$34,5,FALSE)*VLOOKUP(CONCATENATE($F18,"-",$H$2,"-",J$3),'Look-ups'!$I$3:$M$24,5,FALSE)</f>
        <v>553</v>
      </c>
      <c r="K18">
        <f>VLOOKUP(CONCATENATE($G18,"-",$F18,"-",$H$2),'Look-ups'!$O$3:$S$34,5,FALSE)*VLOOKUP(CONCATENATE($F18,"-",$H$2,"-",K$3),'Look-ups'!$I$3:$M$24,5,FALSE)</f>
        <v>711</v>
      </c>
      <c r="L18">
        <f>VLOOKUP(CONCATENATE($G18,"-",$F18,"-",$H$2),'Look-ups'!$O$3:$S$34,5,FALSE)*VLOOKUP(CONCATENATE($F18,"-",$H$2,"-",L$3),'Look-ups'!$I$3:$M$24,5,FALSE)</f>
        <v>790</v>
      </c>
      <c r="M18">
        <f>VLOOKUP(CONCATENATE($G18,"-",$F18,"-",$H$2),'Look-ups'!$O$3:$S$34,5,FALSE)*VLOOKUP(CONCATENATE($F18,"-",$H$2,"-",M$3),'Look-ups'!$I$3:$M$24,5,FALSE)</f>
        <v>869</v>
      </c>
      <c r="N18">
        <f>VLOOKUP(CONCATENATE($G18,"-",$F18,"-",$N$2),'Look-ups'!$O$3:$S$34,5,FALSE)*VLOOKUP(CONCATENATE($F18,"-",$N$2,"-",N$3),'Look-ups'!$I$3:$M$24,5,FALSE)</f>
        <v>315</v>
      </c>
      <c r="O18">
        <f>VLOOKUP(CONCATENATE($G18,"-",$F18,"-",$N$2),'Look-ups'!$O$3:$S$34,5,FALSE)*VLOOKUP(CONCATENATE($F18,"-",$N$2,"-",O$3),'Look-ups'!$I$3:$M$24,5,FALSE)</f>
        <v>315</v>
      </c>
      <c r="P18">
        <f>VLOOKUP(CONCATENATE($G18,"-",$F18,"-",$N$2),'Look-ups'!$O$3:$S$34,5,FALSE)*VLOOKUP(CONCATENATE($F18,"-",$N$2,"-",P$3),'Look-ups'!$I$3:$M$24,5,FALSE)</f>
        <v>420</v>
      </c>
      <c r="Q18">
        <f>VLOOKUP(CONCATENATE($G18,"-",$F18,"-",$N$2),'Look-ups'!$O$3:$S$34,5,FALSE)*VLOOKUP(CONCATENATE($F18,"-",$N$2,"-",Q$3),'Look-ups'!$I$3:$M$24,5,FALSE)</f>
        <v>540</v>
      </c>
      <c r="R18">
        <f>VLOOKUP(CONCATENATE($G18,"-",$F18,"-",$N$2),'Look-ups'!$O$3:$S$34,5,FALSE)*VLOOKUP(CONCATENATE($F18,"-",$N$2,"-",R$3),'Look-ups'!$I$3:$M$24,5,FALSE)</f>
        <v>615</v>
      </c>
      <c r="S18" s="117">
        <f>VLOOKUP(CONCATENATE($G18,"-",$F18,"-Lone Person"),'Look-ups'!$Y$4:$AG$35,5,FALSE)</f>
        <v>107</v>
      </c>
      <c r="T18">
        <f>VLOOKUP(CONCATENATE($G18,"-",$F18,"-Lone Person"),'Look-ups'!$Y$4:$AG$35,6,FALSE)</f>
        <v>153.01000000000002</v>
      </c>
      <c r="U18">
        <f>VLOOKUP(CONCATENATE($G18,"-",$F18,"-Lone Person"),'Look-ups'!$Y$4:$AG$35,7,FALSE)</f>
        <v>182.97</v>
      </c>
      <c r="V18">
        <f>VLOOKUP(CONCATENATE($G18,"-",$F18,"-Lone Person"),'Look-ups'!$Y$4:$AG$35,8,FALSE)</f>
        <v>223.63000000000002</v>
      </c>
      <c r="W18">
        <f>VLOOKUP(CONCATENATE($G18,"-",$F18,"-Lone Person"),'Look-ups'!$Y$4:$AG$35,9,FALSE)</f>
        <v>212.93</v>
      </c>
      <c r="X18" s="117">
        <f>VLOOKUP(CONCATENATE($G18,"-",$F18,"-Couple Only"),'Look-ups'!$Y$4:$AG$35,5,FALSE)</f>
        <v>173.34</v>
      </c>
      <c r="Y18">
        <f>VLOOKUP(CONCATENATE($G18,"-",$F18,"-Couple Only"),'Look-ups'!$Y$4:$AG$35,6,FALSE)</f>
        <v>163.71</v>
      </c>
      <c r="Z18">
        <f>VLOOKUP(CONCATENATE($G18,"-",$F18,"-Couple Only"),'Look-ups'!$Y$4:$AG$35,7,FALSE)</f>
        <v>185.11</v>
      </c>
      <c r="AA18">
        <f>VLOOKUP(CONCATENATE($G18,"-",$F18,"-Couple Only"),'Look-ups'!$Y$4:$AG$35,8,FALSE)</f>
        <v>204.37</v>
      </c>
      <c r="AB18">
        <f>VLOOKUP(CONCATENATE($G18,"-",$F18,"-Couple Only"),'Look-ups'!$Y$4:$AG$35,9,FALSE)</f>
        <v>256.8</v>
      </c>
      <c r="AC18">
        <v>24</v>
      </c>
      <c r="AD18" t="s">
        <v>163</v>
      </c>
      <c r="AE18" s="287">
        <f>VLOOKUP($AD18,'Look-ups'!$A$122:$G$130,5,FALSE)</f>
        <v>9.1436865021770675E-2</v>
      </c>
      <c r="AF18" s="287">
        <f>VLOOKUP($AD18,'Look-ups'!$A$122:$G$130,6,FALSE)</f>
        <v>0.2815674891146589</v>
      </c>
      <c r="AG18" s="287">
        <f>VLOOKUP($AD18,'Look-ups'!$A$122:$G$130,7,FALSE)</f>
        <v>0.62699564586357037</v>
      </c>
      <c r="AH18" s="291">
        <f>VLOOKUP($AC18,'Look-ups'!$A$50:$AO$118,'Look-ups'!$B$133*4,FALSE)*0.277778</f>
        <v>103.01123319633932</v>
      </c>
      <c r="AI18" s="291">
        <f>VLOOKUP($AC18,'Look-ups'!$A$50:$AO$118,'Look-ups'!$B$133*4+1,FALSE)*0.277778</f>
        <v>16.988862803660691</v>
      </c>
      <c r="AJ18" s="291">
        <f>AE18*$AH18/'Look-ups'!$B$141</f>
        <v>12.312449967973622</v>
      </c>
      <c r="AK18" s="291">
        <f>AF18*$AH18/'Look-ups'!$B$140</f>
        <v>39.732348331092965</v>
      </c>
      <c r="AL18" s="291">
        <f>AG18*$AH18/'Look-ups'!$B$137</f>
        <v>12.302398988407928</v>
      </c>
      <c r="AM18" s="291">
        <f>AI18/'Look-ups'!$B$136</f>
        <v>3.5766026955075141</v>
      </c>
      <c r="AN18" s="290">
        <f>AJ18*VLOOKUP($AD18,'Look-ups'!$A$123:$M$130,10,FALSE)</f>
        <v>3.3414621163083962</v>
      </c>
      <c r="AO18" s="290">
        <f>AK18*VLOOKUP($AD18,'Look-ups'!$A$123:$M$130,9,FALSE)</f>
        <v>6.1283968712844414</v>
      </c>
      <c r="AP18" s="290">
        <f>(AL18+AM18)*VLOOKUP($AD18,'Look-ups'!$A$123:$M$130,8,FALSE)</f>
        <v>5.0812805388529414</v>
      </c>
      <c r="AQ18" s="290">
        <f t="shared" si="0"/>
        <v>14.55113952644578</v>
      </c>
      <c r="AR18" s="292">
        <f>AJ18*VLOOKUP($AD18,'Look-ups'!$A$123:$M$130,11,FALSE)</f>
        <v>5.319127321729613E-2</v>
      </c>
      <c r="AS18" s="292">
        <f>AK18*VLOOKUP($AD18,'Look-ups'!$A$123:$M$130,12,FALSE)</f>
        <v>7.3708748587004376</v>
      </c>
      <c r="AT18" s="292">
        <f>(AL18+AM18)*VLOOKUP($AD18,'Look-ups'!$A$123:$M$130,13,FALSE)</f>
        <v>4.0872550334398348</v>
      </c>
      <c r="AU18" s="292">
        <f t="shared" si="1"/>
        <v>11.511321165357568</v>
      </c>
      <c r="AW18" t="s">
        <v>316</v>
      </c>
      <c r="AY18" t="s">
        <v>347</v>
      </c>
      <c r="BA18" t="s">
        <v>367</v>
      </c>
    </row>
    <row r="19" spans="1:53" x14ac:dyDescent="0.25">
      <c r="A19">
        <v>1015</v>
      </c>
      <c r="B19" t="s">
        <v>316</v>
      </c>
      <c r="C19">
        <v>106.253699999999</v>
      </c>
      <c r="D19">
        <v>19255</v>
      </c>
      <c r="E19">
        <v>181.217218788618</v>
      </c>
      <c r="F19" t="s">
        <v>172</v>
      </c>
      <c r="G19" t="s">
        <v>163</v>
      </c>
      <c r="H19">
        <f>VLOOKUP(CONCATENATE($G19,"-",$F19,"-",$H$2),'Look-ups'!$O$3:$S$34,5,FALSE)*VLOOKUP(CONCATENATE($F19,"-",$H$2,"-",H$3),'Look-ups'!$I$3:$M$24,5,FALSE)</f>
        <v>316</v>
      </c>
      <c r="I19">
        <f>VLOOKUP(CONCATENATE($G19,"-",$F19,"-",$H$2),'Look-ups'!$O$3:$S$34,5,FALSE)*VLOOKUP(CONCATENATE($F19,"-",$H$2,"-",I$3),'Look-ups'!$I$3:$M$24,5,FALSE)</f>
        <v>474</v>
      </c>
      <c r="J19">
        <f>VLOOKUP(CONCATENATE($G19,"-",$F19,"-",$H$2),'Look-ups'!$O$3:$S$34,5,FALSE)*VLOOKUP(CONCATENATE($F19,"-",$H$2,"-",J$3),'Look-ups'!$I$3:$M$24,5,FALSE)</f>
        <v>553</v>
      </c>
      <c r="K19">
        <f>VLOOKUP(CONCATENATE($G19,"-",$F19,"-",$H$2),'Look-ups'!$O$3:$S$34,5,FALSE)*VLOOKUP(CONCATENATE($F19,"-",$H$2,"-",K$3),'Look-ups'!$I$3:$M$24,5,FALSE)</f>
        <v>711</v>
      </c>
      <c r="L19">
        <f>VLOOKUP(CONCATENATE($G19,"-",$F19,"-",$H$2),'Look-ups'!$O$3:$S$34,5,FALSE)*VLOOKUP(CONCATENATE($F19,"-",$H$2,"-",L$3),'Look-ups'!$I$3:$M$24,5,FALSE)</f>
        <v>790</v>
      </c>
      <c r="M19">
        <f>VLOOKUP(CONCATENATE($G19,"-",$F19,"-",$H$2),'Look-ups'!$O$3:$S$34,5,FALSE)*VLOOKUP(CONCATENATE($F19,"-",$H$2,"-",M$3),'Look-ups'!$I$3:$M$24,5,FALSE)</f>
        <v>869</v>
      </c>
      <c r="N19">
        <f>VLOOKUP(CONCATENATE($G19,"-",$F19,"-",$N$2),'Look-ups'!$O$3:$S$34,5,FALSE)*VLOOKUP(CONCATENATE($F19,"-",$N$2,"-",N$3),'Look-ups'!$I$3:$M$24,5,FALSE)</f>
        <v>315</v>
      </c>
      <c r="O19">
        <f>VLOOKUP(CONCATENATE($G19,"-",$F19,"-",$N$2),'Look-ups'!$O$3:$S$34,5,FALSE)*VLOOKUP(CONCATENATE($F19,"-",$N$2,"-",O$3),'Look-ups'!$I$3:$M$24,5,FALSE)</f>
        <v>315</v>
      </c>
      <c r="P19">
        <f>VLOOKUP(CONCATENATE($G19,"-",$F19,"-",$N$2),'Look-ups'!$O$3:$S$34,5,FALSE)*VLOOKUP(CONCATENATE($F19,"-",$N$2,"-",P$3),'Look-ups'!$I$3:$M$24,5,FALSE)</f>
        <v>420</v>
      </c>
      <c r="Q19">
        <f>VLOOKUP(CONCATENATE($G19,"-",$F19,"-",$N$2),'Look-ups'!$O$3:$S$34,5,FALSE)*VLOOKUP(CONCATENATE($F19,"-",$N$2,"-",Q$3),'Look-ups'!$I$3:$M$24,5,FALSE)</f>
        <v>540</v>
      </c>
      <c r="R19">
        <f>VLOOKUP(CONCATENATE($G19,"-",$F19,"-",$N$2),'Look-ups'!$O$3:$S$34,5,FALSE)*VLOOKUP(CONCATENATE($F19,"-",$N$2,"-",R$3),'Look-ups'!$I$3:$M$24,5,FALSE)</f>
        <v>615</v>
      </c>
      <c r="S19" s="117">
        <f>VLOOKUP(CONCATENATE($G19,"-",$F19,"-Lone Person"),'Look-ups'!$Y$4:$AG$35,5,FALSE)</f>
        <v>107</v>
      </c>
      <c r="T19">
        <f>VLOOKUP(CONCATENATE($G19,"-",$F19,"-Lone Person"),'Look-ups'!$Y$4:$AG$35,6,FALSE)</f>
        <v>153.01000000000002</v>
      </c>
      <c r="U19">
        <f>VLOOKUP(CONCATENATE($G19,"-",$F19,"-Lone Person"),'Look-ups'!$Y$4:$AG$35,7,FALSE)</f>
        <v>182.97</v>
      </c>
      <c r="V19">
        <f>VLOOKUP(CONCATENATE($G19,"-",$F19,"-Lone Person"),'Look-ups'!$Y$4:$AG$35,8,FALSE)</f>
        <v>223.63000000000002</v>
      </c>
      <c r="W19">
        <f>VLOOKUP(CONCATENATE($G19,"-",$F19,"-Lone Person"),'Look-ups'!$Y$4:$AG$35,9,FALSE)</f>
        <v>212.93</v>
      </c>
      <c r="X19" s="117">
        <f>VLOOKUP(CONCATENATE($G19,"-",$F19,"-Couple Only"),'Look-ups'!$Y$4:$AG$35,5,FALSE)</f>
        <v>173.34</v>
      </c>
      <c r="Y19">
        <f>VLOOKUP(CONCATENATE($G19,"-",$F19,"-Couple Only"),'Look-ups'!$Y$4:$AG$35,6,FALSE)</f>
        <v>163.71</v>
      </c>
      <c r="Z19">
        <f>VLOOKUP(CONCATENATE($G19,"-",$F19,"-Couple Only"),'Look-ups'!$Y$4:$AG$35,7,FALSE)</f>
        <v>185.11</v>
      </c>
      <c r="AA19">
        <f>VLOOKUP(CONCATENATE($G19,"-",$F19,"-Couple Only"),'Look-ups'!$Y$4:$AG$35,8,FALSE)</f>
        <v>204.37</v>
      </c>
      <c r="AB19">
        <f>VLOOKUP(CONCATENATE($G19,"-",$F19,"-Couple Only"),'Look-ups'!$Y$4:$AG$35,9,FALSE)</f>
        <v>256.8</v>
      </c>
      <c r="AC19">
        <v>11</v>
      </c>
      <c r="AD19" t="s">
        <v>163</v>
      </c>
      <c r="AE19" s="287">
        <f>VLOOKUP($AD19,'Look-ups'!$A$122:$G$130,5,FALSE)</f>
        <v>9.1436865021770675E-2</v>
      </c>
      <c r="AF19" s="287">
        <f>VLOOKUP($AD19,'Look-ups'!$A$122:$G$130,6,FALSE)</f>
        <v>0.2815674891146589</v>
      </c>
      <c r="AG19" s="287">
        <f>VLOOKUP($AD19,'Look-ups'!$A$122:$G$130,7,FALSE)</f>
        <v>0.62699564586357037</v>
      </c>
      <c r="AH19" s="291">
        <f>VLOOKUP($AC19,'Look-ups'!$A$50:$AO$118,'Look-ups'!$B$133*4,FALSE)*0.277778</f>
        <v>7.7194943287466682</v>
      </c>
      <c r="AI19" s="291">
        <f>VLOOKUP($AC19,'Look-ups'!$A$50:$AO$118,'Look-ups'!$B$133*4+1,FALSE)*0.277778</f>
        <v>18.947193671253334</v>
      </c>
      <c r="AJ19" s="291">
        <f>AE19*$AH19/'Look-ups'!$B$141</f>
        <v>0.9226749816652724</v>
      </c>
      <c r="AK19" s="291">
        <f>AF19*$AH19/'Look-ups'!$B$140</f>
        <v>2.9774775827123952</v>
      </c>
      <c r="AL19" s="291">
        <f>AG19*$AH19/'Look-ups'!$B$137</f>
        <v>0.92192177759860683</v>
      </c>
      <c r="AM19" s="291">
        <f>AI19/'Look-ups'!$B$136</f>
        <v>3.9888828781585968</v>
      </c>
      <c r="AN19" s="290">
        <f>AJ19*VLOOKUP($AD19,'Look-ups'!$A$123:$M$130,10,FALSE)</f>
        <v>0.25040373807971417</v>
      </c>
      <c r="AO19" s="290">
        <f>AK19*VLOOKUP($AD19,'Look-ups'!$A$123:$M$130,9,FALSE)</f>
        <v>0.45925209731272532</v>
      </c>
      <c r="AP19" s="290">
        <f>(AL19+AM19)*VLOOKUP($AD19,'Look-ups'!$A$123:$M$130,8,FALSE)</f>
        <v>1.5714574898423053</v>
      </c>
      <c r="AQ19" s="290">
        <f t="shared" si="0"/>
        <v>2.2811133252347449</v>
      </c>
      <c r="AR19" s="292">
        <f>AJ19*VLOOKUP($AD19,'Look-ups'!$A$123:$M$130,11,FALSE)</f>
        <v>3.9860675306848357E-3</v>
      </c>
      <c r="AS19" s="292">
        <f>AK19*VLOOKUP($AD19,'Look-ups'!$A$123:$M$130,12,FALSE)</f>
        <v>0.5523613775323819</v>
      </c>
      <c r="AT19" s="292">
        <f>(AL19+AM19)*VLOOKUP($AD19,'Look-ups'!$A$123:$M$130,13,FALSE)</f>
        <v>1.2640411183919043</v>
      </c>
      <c r="AU19" s="292">
        <f t="shared" si="1"/>
        <v>1.820388563454971</v>
      </c>
      <c r="AW19" t="s">
        <v>317</v>
      </c>
      <c r="AY19" t="s">
        <v>348</v>
      </c>
      <c r="BA19" t="s">
        <v>368</v>
      </c>
    </row>
    <row r="20" spans="1:53" x14ac:dyDescent="0.25">
      <c r="A20">
        <v>1016</v>
      </c>
      <c r="B20" t="s">
        <v>317</v>
      </c>
      <c r="C20">
        <v>56.333199999999898</v>
      </c>
      <c r="D20">
        <v>20569</v>
      </c>
      <c r="E20">
        <v>365.13104173027693</v>
      </c>
      <c r="F20" t="s">
        <v>172</v>
      </c>
      <c r="G20" t="s">
        <v>163</v>
      </c>
      <c r="H20">
        <f>VLOOKUP(CONCATENATE($G20,"-",$F20,"-",$H$2),'Look-ups'!$O$3:$S$34,5,FALSE)*VLOOKUP(CONCATENATE($F20,"-",$H$2,"-",H$3),'Look-ups'!$I$3:$M$24,5,FALSE)</f>
        <v>316</v>
      </c>
      <c r="I20">
        <f>VLOOKUP(CONCATENATE($G20,"-",$F20,"-",$H$2),'Look-ups'!$O$3:$S$34,5,FALSE)*VLOOKUP(CONCATENATE($F20,"-",$H$2,"-",I$3),'Look-ups'!$I$3:$M$24,5,FALSE)</f>
        <v>474</v>
      </c>
      <c r="J20">
        <f>VLOOKUP(CONCATENATE($G20,"-",$F20,"-",$H$2),'Look-ups'!$O$3:$S$34,5,FALSE)*VLOOKUP(CONCATENATE($F20,"-",$H$2,"-",J$3),'Look-ups'!$I$3:$M$24,5,FALSE)</f>
        <v>553</v>
      </c>
      <c r="K20">
        <f>VLOOKUP(CONCATENATE($G20,"-",$F20,"-",$H$2),'Look-ups'!$O$3:$S$34,5,FALSE)*VLOOKUP(CONCATENATE($F20,"-",$H$2,"-",K$3),'Look-ups'!$I$3:$M$24,5,FALSE)</f>
        <v>711</v>
      </c>
      <c r="L20">
        <f>VLOOKUP(CONCATENATE($G20,"-",$F20,"-",$H$2),'Look-ups'!$O$3:$S$34,5,FALSE)*VLOOKUP(CONCATENATE($F20,"-",$H$2,"-",L$3),'Look-ups'!$I$3:$M$24,5,FALSE)</f>
        <v>790</v>
      </c>
      <c r="M20">
        <f>VLOOKUP(CONCATENATE($G20,"-",$F20,"-",$H$2),'Look-ups'!$O$3:$S$34,5,FALSE)*VLOOKUP(CONCATENATE($F20,"-",$H$2,"-",M$3),'Look-ups'!$I$3:$M$24,5,FALSE)</f>
        <v>869</v>
      </c>
      <c r="N20">
        <f>VLOOKUP(CONCATENATE($G20,"-",$F20,"-",$N$2),'Look-ups'!$O$3:$S$34,5,FALSE)*VLOOKUP(CONCATENATE($F20,"-",$N$2,"-",N$3),'Look-ups'!$I$3:$M$24,5,FALSE)</f>
        <v>315</v>
      </c>
      <c r="O20">
        <f>VLOOKUP(CONCATENATE($G20,"-",$F20,"-",$N$2),'Look-ups'!$O$3:$S$34,5,FALSE)*VLOOKUP(CONCATENATE($F20,"-",$N$2,"-",O$3),'Look-ups'!$I$3:$M$24,5,FALSE)</f>
        <v>315</v>
      </c>
      <c r="P20">
        <f>VLOOKUP(CONCATENATE($G20,"-",$F20,"-",$N$2),'Look-ups'!$O$3:$S$34,5,FALSE)*VLOOKUP(CONCATENATE($F20,"-",$N$2,"-",P$3),'Look-ups'!$I$3:$M$24,5,FALSE)</f>
        <v>420</v>
      </c>
      <c r="Q20">
        <f>VLOOKUP(CONCATENATE($G20,"-",$F20,"-",$N$2),'Look-ups'!$O$3:$S$34,5,FALSE)*VLOOKUP(CONCATENATE($F20,"-",$N$2,"-",Q$3),'Look-ups'!$I$3:$M$24,5,FALSE)</f>
        <v>540</v>
      </c>
      <c r="R20">
        <f>VLOOKUP(CONCATENATE($G20,"-",$F20,"-",$N$2),'Look-ups'!$O$3:$S$34,5,FALSE)*VLOOKUP(CONCATENATE($F20,"-",$N$2,"-",R$3),'Look-ups'!$I$3:$M$24,5,FALSE)</f>
        <v>615</v>
      </c>
      <c r="S20" s="117">
        <f>VLOOKUP(CONCATENATE($G20,"-",$F20,"-Lone Person"),'Look-ups'!$Y$4:$AG$35,5,FALSE)</f>
        <v>107</v>
      </c>
      <c r="T20">
        <f>VLOOKUP(CONCATENATE($G20,"-",$F20,"-Lone Person"),'Look-ups'!$Y$4:$AG$35,6,FALSE)</f>
        <v>153.01000000000002</v>
      </c>
      <c r="U20">
        <f>VLOOKUP(CONCATENATE($G20,"-",$F20,"-Lone Person"),'Look-ups'!$Y$4:$AG$35,7,FALSE)</f>
        <v>182.97</v>
      </c>
      <c r="V20">
        <f>VLOOKUP(CONCATENATE($G20,"-",$F20,"-Lone Person"),'Look-ups'!$Y$4:$AG$35,8,FALSE)</f>
        <v>223.63000000000002</v>
      </c>
      <c r="W20">
        <f>VLOOKUP(CONCATENATE($G20,"-",$F20,"-Lone Person"),'Look-ups'!$Y$4:$AG$35,9,FALSE)</f>
        <v>212.93</v>
      </c>
      <c r="X20" s="117">
        <f>VLOOKUP(CONCATENATE($G20,"-",$F20,"-Couple Only"),'Look-ups'!$Y$4:$AG$35,5,FALSE)</f>
        <v>173.34</v>
      </c>
      <c r="Y20">
        <f>VLOOKUP(CONCATENATE($G20,"-",$F20,"-Couple Only"),'Look-ups'!$Y$4:$AG$35,6,FALSE)</f>
        <v>163.71</v>
      </c>
      <c r="Z20">
        <f>VLOOKUP(CONCATENATE($G20,"-",$F20,"-Couple Only"),'Look-ups'!$Y$4:$AG$35,7,FALSE)</f>
        <v>185.11</v>
      </c>
      <c r="AA20">
        <f>VLOOKUP(CONCATENATE($G20,"-",$F20,"-Couple Only"),'Look-ups'!$Y$4:$AG$35,8,FALSE)</f>
        <v>204.37</v>
      </c>
      <c r="AB20">
        <f>VLOOKUP(CONCATENATE($G20,"-",$F20,"-Couple Only"),'Look-ups'!$Y$4:$AG$35,9,FALSE)</f>
        <v>256.8</v>
      </c>
      <c r="AC20">
        <v>27</v>
      </c>
      <c r="AD20" t="s">
        <v>163</v>
      </c>
      <c r="AE20" s="287">
        <f>VLOOKUP($AD20,'Look-ups'!$A$122:$G$130,5,FALSE)</f>
        <v>9.1436865021770675E-2</v>
      </c>
      <c r="AF20" s="287">
        <f>VLOOKUP($AD20,'Look-ups'!$A$122:$G$130,6,FALSE)</f>
        <v>0.2815674891146589</v>
      </c>
      <c r="AG20" s="287">
        <f>VLOOKUP($AD20,'Look-ups'!$A$122:$G$130,7,FALSE)</f>
        <v>0.62699564586357037</v>
      </c>
      <c r="AH20" s="291">
        <f>VLOOKUP($AC20,'Look-ups'!$A$50:$AO$118,'Look-ups'!$B$133*4,FALSE)*0.277778</f>
        <v>41.490850904412511</v>
      </c>
      <c r="AI20" s="291">
        <f>VLOOKUP($AC20,'Look-ups'!$A$50:$AO$118,'Look-ups'!$B$133*4+1,FALSE)*0.277778</f>
        <v>31.564763095587505</v>
      </c>
      <c r="AJ20" s="291">
        <f>AE20*$AH20/'Look-ups'!$B$141</f>
        <v>4.9592069722682082</v>
      </c>
      <c r="AK20" s="291">
        <f>AF20*$AH20/'Look-ups'!$B$140</f>
        <v>16.003390014227541</v>
      </c>
      <c r="AL20" s="291">
        <f>AG20*$AH20/'Look-ups'!$B$137</f>
        <v>4.9551586400459477</v>
      </c>
      <c r="AM20" s="291">
        <f>AI20/'Look-ups'!$B$136</f>
        <v>6.6452132832815805</v>
      </c>
      <c r="AN20" s="290">
        <f>AJ20*VLOOKUP($AD20,'Look-ups'!$A$123:$M$130,10,FALSE)</f>
        <v>1.3458736699738996</v>
      </c>
      <c r="AO20" s="290">
        <f>AK20*VLOOKUP($AD20,'Look-ups'!$A$123:$M$130,9,FALSE)</f>
        <v>2.4683948825744846</v>
      </c>
      <c r="AP20" s="290">
        <f>(AL20+AM20)*VLOOKUP($AD20,'Look-ups'!$A$123:$M$130,8,FALSE)</f>
        <v>3.7121190154648094</v>
      </c>
      <c r="AQ20" s="290">
        <f t="shared" si="0"/>
        <v>7.5263875680131935</v>
      </c>
      <c r="AR20" s="292">
        <f>AJ20*VLOOKUP($AD20,'Look-ups'!$A$123:$M$130,11,FALSE)</f>
        <v>2.1424374002670731E-2</v>
      </c>
      <c r="AS20" s="292">
        <f>AK20*VLOOKUP($AD20,'Look-ups'!$A$123:$M$130,12,FALSE)</f>
        <v>2.9688400022793866</v>
      </c>
      <c r="AT20" s="292">
        <f>(AL20+AM20)*VLOOKUP($AD20,'Look-ups'!$A$123:$M$130,13,FALSE)</f>
        <v>2.985935733064506</v>
      </c>
      <c r="AU20" s="292">
        <f t="shared" si="1"/>
        <v>5.9762001093465633</v>
      </c>
      <c r="AW20" t="s">
        <v>318</v>
      </c>
      <c r="AY20" t="s">
        <v>349</v>
      </c>
      <c r="BA20" t="s">
        <v>190</v>
      </c>
    </row>
    <row r="21" spans="1:53" x14ac:dyDescent="0.25">
      <c r="A21">
        <v>1017</v>
      </c>
      <c r="B21" t="s">
        <v>318</v>
      </c>
      <c r="C21">
        <v>195.15610000000001</v>
      </c>
      <c r="D21">
        <v>15654</v>
      </c>
      <c r="E21">
        <v>80.212711772780864</v>
      </c>
      <c r="F21" t="s">
        <v>172</v>
      </c>
      <c r="G21" t="s">
        <v>163</v>
      </c>
      <c r="H21">
        <f>VLOOKUP(CONCATENATE($G21,"-",$F21,"-",$H$2),'Look-ups'!$O$3:$S$34,5,FALSE)*VLOOKUP(CONCATENATE($F21,"-",$H$2,"-",H$3),'Look-ups'!$I$3:$M$24,5,FALSE)</f>
        <v>316</v>
      </c>
      <c r="I21">
        <f>VLOOKUP(CONCATENATE($G21,"-",$F21,"-",$H$2),'Look-ups'!$O$3:$S$34,5,FALSE)*VLOOKUP(CONCATENATE($F21,"-",$H$2,"-",I$3),'Look-ups'!$I$3:$M$24,5,FALSE)</f>
        <v>474</v>
      </c>
      <c r="J21">
        <f>VLOOKUP(CONCATENATE($G21,"-",$F21,"-",$H$2),'Look-ups'!$O$3:$S$34,5,FALSE)*VLOOKUP(CONCATENATE($F21,"-",$H$2,"-",J$3),'Look-ups'!$I$3:$M$24,5,FALSE)</f>
        <v>553</v>
      </c>
      <c r="K21">
        <f>VLOOKUP(CONCATENATE($G21,"-",$F21,"-",$H$2),'Look-ups'!$O$3:$S$34,5,FALSE)*VLOOKUP(CONCATENATE($F21,"-",$H$2,"-",K$3),'Look-ups'!$I$3:$M$24,5,FALSE)</f>
        <v>711</v>
      </c>
      <c r="L21">
        <f>VLOOKUP(CONCATENATE($G21,"-",$F21,"-",$H$2),'Look-ups'!$O$3:$S$34,5,FALSE)*VLOOKUP(CONCATENATE($F21,"-",$H$2,"-",L$3),'Look-ups'!$I$3:$M$24,5,FALSE)</f>
        <v>790</v>
      </c>
      <c r="M21">
        <f>VLOOKUP(CONCATENATE($G21,"-",$F21,"-",$H$2),'Look-ups'!$O$3:$S$34,5,FALSE)*VLOOKUP(CONCATENATE($F21,"-",$H$2,"-",M$3),'Look-ups'!$I$3:$M$24,5,FALSE)</f>
        <v>869</v>
      </c>
      <c r="N21">
        <f>VLOOKUP(CONCATENATE($G21,"-",$F21,"-",$N$2),'Look-ups'!$O$3:$S$34,5,FALSE)*VLOOKUP(CONCATENATE($F21,"-",$N$2,"-",N$3),'Look-ups'!$I$3:$M$24,5,FALSE)</f>
        <v>315</v>
      </c>
      <c r="O21">
        <f>VLOOKUP(CONCATENATE($G21,"-",$F21,"-",$N$2),'Look-ups'!$O$3:$S$34,5,FALSE)*VLOOKUP(CONCATENATE($F21,"-",$N$2,"-",O$3),'Look-ups'!$I$3:$M$24,5,FALSE)</f>
        <v>315</v>
      </c>
      <c r="P21">
        <f>VLOOKUP(CONCATENATE($G21,"-",$F21,"-",$N$2),'Look-ups'!$O$3:$S$34,5,FALSE)*VLOOKUP(CONCATENATE($F21,"-",$N$2,"-",P$3),'Look-ups'!$I$3:$M$24,5,FALSE)</f>
        <v>420</v>
      </c>
      <c r="Q21">
        <f>VLOOKUP(CONCATENATE($G21,"-",$F21,"-",$N$2),'Look-ups'!$O$3:$S$34,5,FALSE)*VLOOKUP(CONCATENATE($F21,"-",$N$2,"-",Q$3),'Look-ups'!$I$3:$M$24,5,FALSE)</f>
        <v>540</v>
      </c>
      <c r="R21">
        <f>VLOOKUP(CONCATENATE($G21,"-",$F21,"-",$N$2),'Look-ups'!$O$3:$S$34,5,FALSE)*VLOOKUP(CONCATENATE($F21,"-",$N$2,"-",R$3),'Look-ups'!$I$3:$M$24,5,FALSE)</f>
        <v>615</v>
      </c>
      <c r="S21" s="117">
        <f>VLOOKUP(CONCATENATE($G21,"-",$F21,"-Lone Person"),'Look-ups'!$Y$4:$AG$35,5,FALSE)</f>
        <v>107</v>
      </c>
      <c r="T21">
        <f>VLOOKUP(CONCATENATE($G21,"-",$F21,"-Lone Person"),'Look-ups'!$Y$4:$AG$35,6,FALSE)</f>
        <v>153.01000000000002</v>
      </c>
      <c r="U21">
        <f>VLOOKUP(CONCATENATE($G21,"-",$F21,"-Lone Person"),'Look-ups'!$Y$4:$AG$35,7,FALSE)</f>
        <v>182.97</v>
      </c>
      <c r="V21">
        <f>VLOOKUP(CONCATENATE($G21,"-",$F21,"-Lone Person"),'Look-ups'!$Y$4:$AG$35,8,FALSE)</f>
        <v>223.63000000000002</v>
      </c>
      <c r="W21">
        <f>VLOOKUP(CONCATENATE($G21,"-",$F21,"-Lone Person"),'Look-ups'!$Y$4:$AG$35,9,FALSE)</f>
        <v>212.93</v>
      </c>
      <c r="X21" s="117">
        <f>VLOOKUP(CONCATENATE($G21,"-",$F21,"-Couple Only"),'Look-ups'!$Y$4:$AG$35,5,FALSE)</f>
        <v>173.34</v>
      </c>
      <c r="Y21">
        <f>VLOOKUP(CONCATENATE($G21,"-",$F21,"-Couple Only"),'Look-ups'!$Y$4:$AG$35,6,FALSE)</f>
        <v>163.71</v>
      </c>
      <c r="Z21">
        <f>VLOOKUP(CONCATENATE($G21,"-",$F21,"-Couple Only"),'Look-ups'!$Y$4:$AG$35,7,FALSE)</f>
        <v>185.11</v>
      </c>
      <c r="AA21">
        <f>VLOOKUP(CONCATENATE($G21,"-",$F21,"-Couple Only"),'Look-ups'!$Y$4:$AG$35,8,FALSE)</f>
        <v>204.37</v>
      </c>
      <c r="AB21">
        <f>VLOOKUP(CONCATENATE($G21,"-",$F21,"-Couple Only"),'Look-ups'!$Y$4:$AG$35,9,FALSE)</f>
        <v>256.8</v>
      </c>
      <c r="AC21">
        <v>11</v>
      </c>
      <c r="AD21" t="s">
        <v>163</v>
      </c>
      <c r="AE21" s="287">
        <f>VLOOKUP($AD21,'Look-ups'!$A$122:$G$130,5,FALSE)</f>
        <v>9.1436865021770675E-2</v>
      </c>
      <c r="AF21" s="287">
        <f>VLOOKUP($AD21,'Look-ups'!$A$122:$G$130,6,FALSE)</f>
        <v>0.2815674891146589</v>
      </c>
      <c r="AG21" s="287">
        <f>VLOOKUP($AD21,'Look-ups'!$A$122:$G$130,7,FALSE)</f>
        <v>0.62699564586357037</v>
      </c>
      <c r="AH21" s="291">
        <f>VLOOKUP($AC21,'Look-ups'!$A$50:$AO$118,'Look-ups'!$B$133*4,FALSE)*0.277778</f>
        <v>7.7194943287466682</v>
      </c>
      <c r="AI21" s="291">
        <f>VLOOKUP($AC21,'Look-ups'!$A$50:$AO$118,'Look-ups'!$B$133*4+1,FALSE)*0.277778</f>
        <v>18.947193671253334</v>
      </c>
      <c r="AJ21" s="291">
        <f>AE21*$AH21/'Look-ups'!$B$141</f>
        <v>0.9226749816652724</v>
      </c>
      <c r="AK21" s="291">
        <f>AF21*$AH21/'Look-ups'!$B$140</f>
        <v>2.9774775827123952</v>
      </c>
      <c r="AL21" s="291">
        <f>AG21*$AH21/'Look-ups'!$B$137</f>
        <v>0.92192177759860683</v>
      </c>
      <c r="AM21" s="291">
        <f>AI21/'Look-ups'!$B$136</f>
        <v>3.9888828781585968</v>
      </c>
      <c r="AN21" s="290">
        <f>AJ21*VLOOKUP($AD21,'Look-ups'!$A$123:$M$130,10,FALSE)</f>
        <v>0.25040373807971417</v>
      </c>
      <c r="AO21" s="290">
        <f>AK21*VLOOKUP($AD21,'Look-ups'!$A$123:$M$130,9,FALSE)</f>
        <v>0.45925209731272532</v>
      </c>
      <c r="AP21" s="290">
        <f>(AL21+AM21)*VLOOKUP($AD21,'Look-ups'!$A$123:$M$130,8,FALSE)</f>
        <v>1.5714574898423053</v>
      </c>
      <c r="AQ21" s="290">
        <f t="shared" si="0"/>
        <v>2.2811133252347449</v>
      </c>
      <c r="AR21" s="292">
        <f>AJ21*VLOOKUP($AD21,'Look-ups'!$A$123:$M$130,11,FALSE)</f>
        <v>3.9860675306848357E-3</v>
      </c>
      <c r="AS21" s="292">
        <f>AK21*VLOOKUP($AD21,'Look-ups'!$A$123:$M$130,12,FALSE)</f>
        <v>0.5523613775323819</v>
      </c>
      <c r="AT21" s="292">
        <f>(AL21+AM21)*VLOOKUP($AD21,'Look-ups'!$A$123:$M$130,13,FALSE)</f>
        <v>1.2640411183919043</v>
      </c>
      <c r="AU21" s="292">
        <f t="shared" si="1"/>
        <v>1.820388563454971</v>
      </c>
      <c r="AW21" t="s">
        <v>319</v>
      </c>
      <c r="AY21" t="s">
        <v>350</v>
      </c>
      <c r="BA21" t="s">
        <v>369</v>
      </c>
    </row>
    <row r="22" spans="1:53" x14ac:dyDescent="0.25">
      <c r="A22">
        <v>1018</v>
      </c>
      <c r="B22" t="s">
        <v>319</v>
      </c>
      <c r="C22">
        <v>88.536600000000007</v>
      </c>
      <c r="D22">
        <v>28816</v>
      </c>
      <c r="E22">
        <v>325.46991865510984</v>
      </c>
      <c r="F22" t="s">
        <v>172</v>
      </c>
      <c r="G22" t="s">
        <v>163</v>
      </c>
      <c r="H22">
        <f>VLOOKUP(CONCATENATE($G22,"-",$F22,"-",$H$2),'Look-ups'!$O$3:$S$34,5,FALSE)*VLOOKUP(CONCATENATE($F22,"-",$H$2,"-",H$3),'Look-ups'!$I$3:$M$24,5,FALSE)</f>
        <v>316</v>
      </c>
      <c r="I22">
        <f>VLOOKUP(CONCATENATE($G22,"-",$F22,"-",$H$2),'Look-ups'!$O$3:$S$34,5,FALSE)*VLOOKUP(CONCATENATE($F22,"-",$H$2,"-",I$3),'Look-ups'!$I$3:$M$24,5,FALSE)</f>
        <v>474</v>
      </c>
      <c r="J22">
        <f>VLOOKUP(CONCATENATE($G22,"-",$F22,"-",$H$2),'Look-ups'!$O$3:$S$34,5,FALSE)*VLOOKUP(CONCATENATE($F22,"-",$H$2,"-",J$3),'Look-ups'!$I$3:$M$24,5,FALSE)</f>
        <v>553</v>
      </c>
      <c r="K22">
        <f>VLOOKUP(CONCATENATE($G22,"-",$F22,"-",$H$2),'Look-ups'!$O$3:$S$34,5,FALSE)*VLOOKUP(CONCATENATE($F22,"-",$H$2,"-",K$3),'Look-ups'!$I$3:$M$24,5,FALSE)</f>
        <v>711</v>
      </c>
      <c r="L22">
        <f>VLOOKUP(CONCATENATE($G22,"-",$F22,"-",$H$2),'Look-ups'!$O$3:$S$34,5,FALSE)*VLOOKUP(CONCATENATE($F22,"-",$H$2,"-",L$3),'Look-ups'!$I$3:$M$24,5,FALSE)</f>
        <v>790</v>
      </c>
      <c r="M22">
        <f>VLOOKUP(CONCATENATE($G22,"-",$F22,"-",$H$2),'Look-ups'!$O$3:$S$34,5,FALSE)*VLOOKUP(CONCATENATE($F22,"-",$H$2,"-",M$3),'Look-ups'!$I$3:$M$24,5,FALSE)</f>
        <v>869</v>
      </c>
      <c r="N22">
        <f>VLOOKUP(CONCATENATE($G22,"-",$F22,"-",$N$2),'Look-ups'!$O$3:$S$34,5,FALSE)*VLOOKUP(CONCATENATE($F22,"-",$N$2,"-",N$3),'Look-ups'!$I$3:$M$24,5,FALSE)</f>
        <v>315</v>
      </c>
      <c r="O22">
        <f>VLOOKUP(CONCATENATE($G22,"-",$F22,"-",$N$2),'Look-ups'!$O$3:$S$34,5,FALSE)*VLOOKUP(CONCATENATE($F22,"-",$N$2,"-",O$3),'Look-ups'!$I$3:$M$24,5,FALSE)</f>
        <v>315</v>
      </c>
      <c r="P22">
        <f>VLOOKUP(CONCATENATE($G22,"-",$F22,"-",$N$2),'Look-ups'!$O$3:$S$34,5,FALSE)*VLOOKUP(CONCATENATE($F22,"-",$N$2,"-",P$3),'Look-ups'!$I$3:$M$24,5,FALSE)</f>
        <v>420</v>
      </c>
      <c r="Q22">
        <f>VLOOKUP(CONCATENATE($G22,"-",$F22,"-",$N$2),'Look-ups'!$O$3:$S$34,5,FALSE)*VLOOKUP(CONCATENATE($F22,"-",$N$2,"-",Q$3),'Look-ups'!$I$3:$M$24,5,FALSE)</f>
        <v>540</v>
      </c>
      <c r="R22">
        <f>VLOOKUP(CONCATENATE($G22,"-",$F22,"-",$N$2),'Look-ups'!$O$3:$S$34,5,FALSE)*VLOOKUP(CONCATENATE($F22,"-",$N$2,"-",R$3),'Look-ups'!$I$3:$M$24,5,FALSE)</f>
        <v>615</v>
      </c>
      <c r="S22" s="117">
        <f>VLOOKUP(CONCATENATE($G22,"-",$F22,"-Lone Person"),'Look-ups'!$Y$4:$AG$35,5,FALSE)</f>
        <v>107</v>
      </c>
      <c r="T22">
        <f>VLOOKUP(CONCATENATE($G22,"-",$F22,"-Lone Person"),'Look-ups'!$Y$4:$AG$35,6,FALSE)</f>
        <v>153.01000000000002</v>
      </c>
      <c r="U22">
        <f>VLOOKUP(CONCATENATE($G22,"-",$F22,"-Lone Person"),'Look-ups'!$Y$4:$AG$35,7,FALSE)</f>
        <v>182.97</v>
      </c>
      <c r="V22">
        <f>VLOOKUP(CONCATENATE($G22,"-",$F22,"-Lone Person"),'Look-ups'!$Y$4:$AG$35,8,FALSE)</f>
        <v>223.63000000000002</v>
      </c>
      <c r="W22">
        <f>VLOOKUP(CONCATENATE($G22,"-",$F22,"-Lone Person"),'Look-ups'!$Y$4:$AG$35,9,FALSE)</f>
        <v>212.93</v>
      </c>
      <c r="X22" s="117">
        <f>VLOOKUP(CONCATENATE($G22,"-",$F22,"-Couple Only"),'Look-ups'!$Y$4:$AG$35,5,FALSE)</f>
        <v>173.34</v>
      </c>
      <c r="Y22">
        <f>VLOOKUP(CONCATENATE($G22,"-",$F22,"-Couple Only"),'Look-ups'!$Y$4:$AG$35,6,FALSE)</f>
        <v>163.71</v>
      </c>
      <c r="Z22">
        <f>VLOOKUP(CONCATENATE($G22,"-",$F22,"-Couple Only"),'Look-ups'!$Y$4:$AG$35,7,FALSE)</f>
        <v>185.11</v>
      </c>
      <c r="AA22">
        <f>VLOOKUP(CONCATENATE($G22,"-",$F22,"-Couple Only"),'Look-ups'!$Y$4:$AG$35,8,FALSE)</f>
        <v>204.37</v>
      </c>
      <c r="AB22">
        <f>VLOOKUP(CONCATENATE($G22,"-",$F22,"-Couple Only"),'Look-ups'!$Y$4:$AG$35,9,FALSE)</f>
        <v>256.8</v>
      </c>
      <c r="AC22">
        <v>9</v>
      </c>
      <c r="AD22" t="s">
        <v>163</v>
      </c>
      <c r="AE22" s="287">
        <f>VLOOKUP($AD22,'Look-ups'!$A$122:$G$130,5,FALSE)</f>
        <v>9.1436865021770675E-2</v>
      </c>
      <c r="AF22" s="287">
        <f>VLOOKUP($AD22,'Look-ups'!$A$122:$G$130,6,FALSE)</f>
        <v>0.2815674891146589</v>
      </c>
      <c r="AG22" s="287">
        <f>VLOOKUP($AD22,'Look-ups'!$A$122:$G$130,7,FALSE)</f>
        <v>0.62699564586357037</v>
      </c>
      <c r="AH22" s="291">
        <f>VLOOKUP($AC22,'Look-ups'!$A$50:$AO$118,'Look-ups'!$B$133*4,FALSE)*0.277778</f>
        <v>14.028700976231834</v>
      </c>
      <c r="AI22" s="291">
        <f>VLOOKUP($AC22,'Look-ups'!$A$50:$AO$118,'Look-ups'!$B$133*4+1,FALSE)*0.277778</f>
        <v>33.471337023768172</v>
      </c>
      <c r="AJ22" s="291">
        <f>AE22*$AH22/'Look-ups'!$B$141</f>
        <v>1.676784885744435</v>
      </c>
      <c r="AK22" s="291">
        <f>AF22*$AH22/'Look-ups'!$B$140</f>
        <v>5.4109946704355636</v>
      </c>
      <c r="AL22" s="291">
        <f>AG22*$AH22/'Look-ups'!$B$137</f>
        <v>1.6754160817560722</v>
      </c>
      <c r="AM22" s="291">
        <f>AI22/'Look-ups'!$B$136</f>
        <v>7.0465972681617206</v>
      </c>
      <c r="AN22" s="290">
        <f>AJ22*VLOOKUP($AD22,'Look-ups'!$A$123:$M$130,10,FALSE)</f>
        <v>0.45506078704786462</v>
      </c>
      <c r="AO22" s="290">
        <f>AK22*VLOOKUP($AD22,'Look-ups'!$A$123:$M$130,9,FALSE)</f>
        <v>0.83460263995732231</v>
      </c>
      <c r="AP22" s="290">
        <f>(AL22+AM22)*VLOOKUP($AD22,'Look-ups'!$A$123:$M$130,8,FALSE)</f>
        <v>2.7910442719736936</v>
      </c>
      <c r="AQ22" s="290">
        <f t="shared" si="0"/>
        <v>4.0807076989788804</v>
      </c>
      <c r="AR22" s="292">
        <f>AJ22*VLOOKUP($AD22,'Look-ups'!$A$123:$M$130,11,FALSE)</f>
        <v>7.2439135359949666E-3</v>
      </c>
      <c r="AS22" s="292">
        <f>AK22*VLOOKUP($AD22,'Look-ups'!$A$123:$M$130,12,FALSE)</f>
        <v>1.0038109060285294</v>
      </c>
      <c r="AT22" s="292">
        <f>(AL22+AM22)*VLOOKUP($AD22,'Look-ups'!$A$123:$M$130,13,FALSE)</f>
        <v>2.2450462362688399</v>
      </c>
      <c r="AU22" s="292">
        <f t="shared" si="1"/>
        <v>3.2561010558333643</v>
      </c>
      <c r="AW22" t="s">
        <v>320</v>
      </c>
      <c r="AY22" t="s">
        <v>351</v>
      </c>
      <c r="BA22" t="s">
        <v>370</v>
      </c>
    </row>
    <row r="23" spans="1:53" x14ac:dyDescent="0.25">
      <c r="A23">
        <v>1019</v>
      </c>
      <c r="B23" t="s">
        <v>320</v>
      </c>
      <c r="C23">
        <v>119.984399999999</v>
      </c>
      <c r="D23">
        <v>12385</v>
      </c>
      <c r="E23">
        <v>103.22175216111513</v>
      </c>
      <c r="F23" t="s">
        <v>172</v>
      </c>
      <c r="G23" t="s">
        <v>163</v>
      </c>
      <c r="H23">
        <f>VLOOKUP(CONCATENATE($G23,"-",$F23,"-",$H$2),'Look-ups'!$O$3:$S$34,5,FALSE)*VLOOKUP(CONCATENATE($F23,"-",$H$2,"-",H$3),'Look-ups'!$I$3:$M$24,5,FALSE)</f>
        <v>316</v>
      </c>
      <c r="I23">
        <f>VLOOKUP(CONCATENATE($G23,"-",$F23,"-",$H$2),'Look-ups'!$O$3:$S$34,5,FALSE)*VLOOKUP(CONCATENATE($F23,"-",$H$2,"-",I$3),'Look-ups'!$I$3:$M$24,5,FALSE)</f>
        <v>474</v>
      </c>
      <c r="J23">
        <f>VLOOKUP(CONCATENATE($G23,"-",$F23,"-",$H$2),'Look-ups'!$O$3:$S$34,5,FALSE)*VLOOKUP(CONCATENATE($F23,"-",$H$2,"-",J$3),'Look-ups'!$I$3:$M$24,5,FALSE)</f>
        <v>553</v>
      </c>
      <c r="K23">
        <f>VLOOKUP(CONCATENATE($G23,"-",$F23,"-",$H$2),'Look-ups'!$O$3:$S$34,5,FALSE)*VLOOKUP(CONCATENATE($F23,"-",$H$2,"-",K$3),'Look-ups'!$I$3:$M$24,5,FALSE)</f>
        <v>711</v>
      </c>
      <c r="L23">
        <f>VLOOKUP(CONCATENATE($G23,"-",$F23,"-",$H$2),'Look-ups'!$O$3:$S$34,5,FALSE)*VLOOKUP(CONCATENATE($F23,"-",$H$2,"-",L$3),'Look-ups'!$I$3:$M$24,5,FALSE)</f>
        <v>790</v>
      </c>
      <c r="M23">
        <f>VLOOKUP(CONCATENATE($G23,"-",$F23,"-",$H$2),'Look-ups'!$O$3:$S$34,5,FALSE)*VLOOKUP(CONCATENATE($F23,"-",$H$2,"-",M$3),'Look-ups'!$I$3:$M$24,5,FALSE)</f>
        <v>869</v>
      </c>
      <c r="N23">
        <f>VLOOKUP(CONCATENATE($G23,"-",$F23,"-",$N$2),'Look-ups'!$O$3:$S$34,5,FALSE)*VLOOKUP(CONCATENATE($F23,"-",$N$2,"-",N$3),'Look-ups'!$I$3:$M$24,5,FALSE)</f>
        <v>315</v>
      </c>
      <c r="O23">
        <f>VLOOKUP(CONCATENATE($G23,"-",$F23,"-",$N$2),'Look-ups'!$O$3:$S$34,5,FALSE)*VLOOKUP(CONCATENATE($F23,"-",$N$2,"-",O$3),'Look-ups'!$I$3:$M$24,5,FALSE)</f>
        <v>315</v>
      </c>
      <c r="P23">
        <f>VLOOKUP(CONCATENATE($G23,"-",$F23,"-",$N$2),'Look-ups'!$O$3:$S$34,5,FALSE)*VLOOKUP(CONCATENATE($F23,"-",$N$2,"-",P$3),'Look-ups'!$I$3:$M$24,5,FALSE)</f>
        <v>420</v>
      </c>
      <c r="Q23">
        <f>VLOOKUP(CONCATENATE($G23,"-",$F23,"-",$N$2),'Look-ups'!$O$3:$S$34,5,FALSE)*VLOOKUP(CONCATENATE($F23,"-",$N$2,"-",Q$3),'Look-ups'!$I$3:$M$24,5,FALSE)</f>
        <v>540</v>
      </c>
      <c r="R23">
        <f>VLOOKUP(CONCATENATE($G23,"-",$F23,"-",$N$2),'Look-ups'!$O$3:$S$34,5,FALSE)*VLOOKUP(CONCATENATE($F23,"-",$N$2,"-",R$3),'Look-ups'!$I$3:$M$24,5,FALSE)</f>
        <v>615</v>
      </c>
      <c r="S23" s="117">
        <f>VLOOKUP(CONCATENATE($G23,"-",$F23,"-Lone Person"),'Look-ups'!$Y$4:$AG$35,5,FALSE)</f>
        <v>107</v>
      </c>
      <c r="T23">
        <f>VLOOKUP(CONCATENATE($G23,"-",$F23,"-Lone Person"),'Look-ups'!$Y$4:$AG$35,6,FALSE)</f>
        <v>153.01000000000002</v>
      </c>
      <c r="U23">
        <f>VLOOKUP(CONCATENATE($G23,"-",$F23,"-Lone Person"),'Look-ups'!$Y$4:$AG$35,7,FALSE)</f>
        <v>182.97</v>
      </c>
      <c r="V23">
        <f>VLOOKUP(CONCATENATE($G23,"-",$F23,"-Lone Person"),'Look-ups'!$Y$4:$AG$35,8,FALSE)</f>
        <v>223.63000000000002</v>
      </c>
      <c r="W23">
        <f>VLOOKUP(CONCATENATE($G23,"-",$F23,"-Lone Person"),'Look-ups'!$Y$4:$AG$35,9,FALSE)</f>
        <v>212.93</v>
      </c>
      <c r="X23" s="117">
        <f>VLOOKUP(CONCATENATE($G23,"-",$F23,"-Couple Only"),'Look-ups'!$Y$4:$AG$35,5,FALSE)</f>
        <v>173.34</v>
      </c>
      <c r="Y23">
        <f>VLOOKUP(CONCATENATE($G23,"-",$F23,"-Couple Only"),'Look-ups'!$Y$4:$AG$35,6,FALSE)</f>
        <v>163.71</v>
      </c>
      <c r="Z23">
        <f>VLOOKUP(CONCATENATE($G23,"-",$F23,"-Couple Only"),'Look-ups'!$Y$4:$AG$35,7,FALSE)</f>
        <v>185.11</v>
      </c>
      <c r="AA23">
        <f>VLOOKUP(CONCATENATE($G23,"-",$F23,"-Couple Only"),'Look-ups'!$Y$4:$AG$35,8,FALSE)</f>
        <v>204.37</v>
      </c>
      <c r="AB23">
        <f>VLOOKUP(CONCATENATE($G23,"-",$F23,"-Couple Only"),'Look-ups'!$Y$4:$AG$35,9,FALSE)</f>
        <v>256.8</v>
      </c>
      <c r="AC23">
        <v>65</v>
      </c>
      <c r="AD23" t="s">
        <v>163</v>
      </c>
      <c r="AE23" s="287">
        <f>VLOOKUP($AD23,'Look-ups'!$A$122:$G$130,5,FALSE)</f>
        <v>9.1436865021770675E-2</v>
      </c>
      <c r="AF23" s="287">
        <f>VLOOKUP($AD23,'Look-ups'!$A$122:$G$130,6,FALSE)</f>
        <v>0.2815674891146589</v>
      </c>
      <c r="AG23" s="287">
        <f>VLOOKUP($AD23,'Look-ups'!$A$122:$G$130,7,FALSE)</f>
        <v>0.62699564586357037</v>
      </c>
      <c r="AH23" s="291">
        <f>VLOOKUP($AC23,'Look-ups'!$A$50:$AO$118,'Look-ups'!$B$133*4,FALSE)*0.277778</f>
        <v>118.60883174298655</v>
      </c>
      <c r="AI23" s="291">
        <f>VLOOKUP($AC23,'Look-ups'!$A$50:$AO$118,'Look-ups'!$B$133*4+1,FALSE)*0.277778</f>
        <v>10.00238225701346</v>
      </c>
      <c r="AJ23" s="291">
        <f>AE23*$AH23/'Look-ups'!$B$141</f>
        <v>14.176757828069766</v>
      </c>
      <c r="AK23" s="291">
        <f>AF23*$AH23/'Look-ups'!$B$140</f>
        <v>45.748480740679142</v>
      </c>
      <c r="AL23" s="291">
        <f>AG23*$AH23/'Look-ups'!$B$137</f>
        <v>14.165184964536646</v>
      </c>
      <c r="AM23" s="291">
        <f>AI23/'Look-ups'!$B$136</f>
        <v>2.1057646856870442</v>
      </c>
      <c r="AN23" s="290">
        <f>AJ23*VLOOKUP($AD23,'Look-ups'!$A$123:$M$130,10,FALSE)</f>
        <v>3.8474145550067109</v>
      </c>
      <c r="AO23" s="290">
        <f>AK23*VLOOKUP($AD23,'Look-ups'!$A$123:$M$130,9,FALSE)</f>
        <v>7.056337166403833</v>
      </c>
      <c r="AP23" s="290">
        <f>(AL23+AM23)*VLOOKUP($AD23,'Look-ups'!$A$123:$M$130,8,FALSE)</f>
        <v>5.2067038880715817</v>
      </c>
      <c r="AQ23" s="290">
        <f t="shared" si="0"/>
        <v>16.110455609482123</v>
      </c>
      <c r="AR23" s="292">
        <f>AJ23*VLOOKUP($AD23,'Look-ups'!$A$123:$M$130,11,FALSE)</f>
        <v>6.1245308685904588E-2</v>
      </c>
      <c r="AS23" s="292">
        <f>AK23*VLOOKUP($AD23,'Look-ups'!$A$123:$M$130,12,FALSE)</f>
        <v>8.4869467997522996</v>
      </c>
      <c r="AT23" s="292">
        <f>(AL23+AM23)*VLOOKUP($AD23,'Look-ups'!$A$123:$M$130,13,FALSE)</f>
        <v>4.1881424399675788</v>
      </c>
      <c r="AU23" s="292">
        <f t="shared" si="1"/>
        <v>12.736334548405782</v>
      </c>
      <c r="AW23" t="s">
        <v>1006</v>
      </c>
      <c r="AY23" t="s">
        <v>352</v>
      </c>
    </row>
    <row r="24" spans="1:53" x14ac:dyDescent="0.25">
      <c r="A24">
        <v>1020</v>
      </c>
      <c r="B24" t="s">
        <v>1006</v>
      </c>
      <c r="C24">
        <v>365.18200000000002</v>
      </c>
      <c r="D24">
        <v>15020</v>
      </c>
      <c r="E24">
        <v>41.130176186120892</v>
      </c>
      <c r="F24" t="s">
        <v>172</v>
      </c>
      <c r="G24" t="s">
        <v>163</v>
      </c>
      <c r="H24">
        <f>VLOOKUP(CONCATENATE($G24,"-",$F24,"-",$H$2),'Look-ups'!$O$3:$S$34,5,FALSE)*VLOOKUP(CONCATENATE($F24,"-",$H$2,"-",H$3),'Look-ups'!$I$3:$M$24,5,FALSE)</f>
        <v>316</v>
      </c>
      <c r="I24">
        <f>VLOOKUP(CONCATENATE($G24,"-",$F24,"-",$H$2),'Look-ups'!$O$3:$S$34,5,FALSE)*VLOOKUP(CONCATENATE($F24,"-",$H$2,"-",I$3),'Look-ups'!$I$3:$M$24,5,FALSE)</f>
        <v>474</v>
      </c>
      <c r="J24">
        <f>VLOOKUP(CONCATENATE($G24,"-",$F24,"-",$H$2),'Look-ups'!$O$3:$S$34,5,FALSE)*VLOOKUP(CONCATENATE($F24,"-",$H$2,"-",J$3),'Look-ups'!$I$3:$M$24,5,FALSE)</f>
        <v>553</v>
      </c>
      <c r="K24">
        <f>VLOOKUP(CONCATENATE($G24,"-",$F24,"-",$H$2),'Look-ups'!$O$3:$S$34,5,FALSE)*VLOOKUP(CONCATENATE($F24,"-",$H$2,"-",K$3),'Look-ups'!$I$3:$M$24,5,FALSE)</f>
        <v>711</v>
      </c>
      <c r="L24">
        <f>VLOOKUP(CONCATENATE($G24,"-",$F24,"-",$H$2),'Look-ups'!$O$3:$S$34,5,FALSE)*VLOOKUP(CONCATENATE($F24,"-",$H$2,"-",L$3),'Look-ups'!$I$3:$M$24,5,FALSE)</f>
        <v>790</v>
      </c>
      <c r="M24">
        <f>VLOOKUP(CONCATENATE($G24,"-",$F24,"-",$H$2),'Look-ups'!$O$3:$S$34,5,FALSE)*VLOOKUP(CONCATENATE($F24,"-",$H$2,"-",M$3),'Look-ups'!$I$3:$M$24,5,FALSE)</f>
        <v>869</v>
      </c>
      <c r="N24">
        <f>VLOOKUP(CONCATENATE($G24,"-",$F24,"-",$N$2),'Look-ups'!$O$3:$S$34,5,FALSE)*VLOOKUP(CONCATENATE($F24,"-",$N$2,"-",N$3),'Look-ups'!$I$3:$M$24,5,FALSE)</f>
        <v>315</v>
      </c>
      <c r="O24">
        <f>VLOOKUP(CONCATENATE($G24,"-",$F24,"-",$N$2),'Look-ups'!$O$3:$S$34,5,FALSE)*VLOOKUP(CONCATENATE($F24,"-",$N$2,"-",O$3),'Look-ups'!$I$3:$M$24,5,FALSE)</f>
        <v>315</v>
      </c>
      <c r="P24">
        <f>VLOOKUP(CONCATENATE($G24,"-",$F24,"-",$N$2),'Look-ups'!$O$3:$S$34,5,FALSE)*VLOOKUP(CONCATENATE($F24,"-",$N$2,"-",P$3),'Look-ups'!$I$3:$M$24,5,FALSE)</f>
        <v>420</v>
      </c>
      <c r="Q24">
        <f>VLOOKUP(CONCATENATE($G24,"-",$F24,"-",$N$2),'Look-ups'!$O$3:$S$34,5,FALSE)*VLOOKUP(CONCATENATE($F24,"-",$N$2,"-",Q$3),'Look-ups'!$I$3:$M$24,5,FALSE)</f>
        <v>540</v>
      </c>
      <c r="R24">
        <f>VLOOKUP(CONCATENATE($G24,"-",$F24,"-",$N$2),'Look-ups'!$O$3:$S$34,5,FALSE)*VLOOKUP(CONCATENATE($F24,"-",$N$2,"-",R$3),'Look-ups'!$I$3:$M$24,5,FALSE)</f>
        <v>615</v>
      </c>
      <c r="S24" s="117">
        <f>VLOOKUP(CONCATENATE($G24,"-",$F24,"-Lone Person"),'Look-ups'!$Y$4:$AG$35,5,FALSE)</f>
        <v>107</v>
      </c>
      <c r="T24">
        <f>VLOOKUP(CONCATENATE($G24,"-",$F24,"-Lone Person"),'Look-ups'!$Y$4:$AG$35,6,FALSE)</f>
        <v>153.01000000000002</v>
      </c>
      <c r="U24">
        <f>VLOOKUP(CONCATENATE($G24,"-",$F24,"-Lone Person"),'Look-ups'!$Y$4:$AG$35,7,FALSE)</f>
        <v>182.97</v>
      </c>
      <c r="V24">
        <f>VLOOKUP(CONCATENATE($G24,"-",$F24,"-Lone Person"),'Look-ups'!$Y$4:$AG$35,8,FALSE)</f>
        <v>223.63000000000002</v>
      </c>
      <c r="W24">
        <f>VLOOKUP(CONCATENATE($G24,"-",$F24,"-Lone Person"),'Look-ups'!$Y$4:$AG$35,9,FALSE)</f>
        <v>212.93</v>
      </c>
      <c r="X24" s="117">
        <f>VLOOKUP(CONCATENATE($G24,"-",$F24,"-Couple Only"),'Look-ups'!$Y$4:$AG$35,5,FALSE)</f>
        <v>173.34</v>
      </c>
      <c r="Y24">
        <f>VLOOKUP(CONCATENATE($G24,"-",$F24,"-Couple Only"),'Look-ups'!$Y$4:$AG$35,6,FALSE)</f>
        <v>163.71</v>
      </c>
      <c r="Z24">
        <f>VLOOKUP(CONCATENATE($G24,"-",$F24,"-Couple Only"),'Look-ups'!$Y$4:$AG$35,7,FALSE)</f>
        <v>185.11</v>
      </c>
      <c r="AA24">
        <f>VLOOKUP(CONCATENATE($G24,"-",$F24,"-Couple Only"),'Look-ups'!$Y$4:$AG$35,8,FALSE)</f>
        <v>204.37</v>
      </c>
      <c r="AB24">
        <f>VLOOKUP(CONCATENATE($G24,"-",$F24,"-Couple Only"),'Look-ups'!$Y$4:$AG$35,9,FALSE)</f>
        <v>256.8</v>
      </c>
      <c r="AC24">
        <v>15</v>
      </c>
      <c r="AD24" t="s">
        <v>163</v>
      </c>
      <c r="AE24" s="287">
        <f>VLOOKUP($AD24,'Look-ups'!$A$122:$G$130,5,FALSE)</f>
        <v>9.1436865021770675E-2</v>
      </c>
      <c r="AF24" s="287">
        <f>VLOOKUP($AD24,'Look-ups'!$A$122:$G$130,6,FALSE)</f>
        <v>0.2815674891146589</v>
      </c>
      <c r="AG24" s="287">
        <f>VLOOKUP($AD24,'Look-ups'!$A$122:$G$130,7,FALSE)</f>
        <v>0.62699564586357037</v>
      </c>
      <c r="AH24" s="291">
        <f>VLOOKUP($AC24,'Look-ups'!$A$50:$AO$118,'Look-ups'!$B$133*4,FALSE)*0.277778</f>
        <v>18.727289044025561</v>
      </c>
      <c r="AI24" s="291">
        <f>VLOOKUP($AC24,'Look-ups'!$A$50:$AO$118,'Look-ups'!$B$133*4+1,FALSE)*0.277778</f>
        <v>17.939406955974444</v>
      </c>
      <c r="AJ24" s="291">
        <f>AE24*$AH24/'Look-ups'!$B$141</f>
        <v>2.2383850987480396</v>
      </c>
      <c r="AK24" s="291">
        <f>AF24*$AH24/'Look-ups'!$B$140</f>
        <v>7.223281854864025</v>
      </c>
      <c r="AL24" s="291">
        <f>AG24*$AH24/'Look-ups'!$B$137</f>
        <v>2.2365578456062041</v>
      </c>
      <c r="AM24" s="291">
        <f>AI24/'Look-ups'!$B$136</f>
        <v>3.7767172538893568</v>
      </c>
      <c r="AN24" s="290">
        <f>AJ24*VLOOKUP($AD24,'Look-ups'!$A$123:$M$130,10,FALSE)</f>
        <v>0.60747284485467623</v>
      </c>
      <c r="AO24" s="290">
        <f>AK24*VLOOKUP($AD24,'Look-ups'!$A$123:$M$130,9,FALSE)</f>
        <v>1.114133439857937</v>
      </c>
      <c r="AP24" s="290">
        <f>(AL24+AM24)*VLOOKUP($AD24,'Look-ups'!$A$123:$M$130,8,FALSE)</f>
        <v>1.9242480318385793</v>
      </c>
      <c r="AQ24" s="290">
        <f t="shared" si="0"/>
        <v>3.6458543165511923</v>
      </c>
      <c r="AR24" s="292">
        <f>AJ24*VLOOKUP($AD24,'Look-ups'!$A$123:$M$130,11,FALSE)</f>
        <v>9.6700943892344283E-3</v>
      </c>
      <c r="AS24" s="292">
        <f>AK24*VLOOKUP($AD24,'Look-ups'!$A$123:$M$130,12,FALSE)</f>
        <v>1.340014090726656</v>
      </c>
      <c r="AT24" s="292">
        <f>(AL24+AM24)*VLOOKUP($AD24,'Look-ups'!$A$123:$M$130,13,FALSE)</f>
        <v>1.5478170106101574</v>
      </c>
      <c r="AU24" s="292">
        <f t="shared" si="1"/>
        <v>2.8975011957260479</v>
      </c>
      <c r="AW24" t="s">
        <v>321</v>
      </c>
      <c r="AY24" t="s">
        <v>353</v>
      </c>
    </row>
    <row r="25" spans="1:53" x14ac:dyDescent="0.25">
      <c r="A25">
        <v>1021</v>
      </c>
      <c r="B25" t="s">
        <v>321</v>
      </c>
      <c r="C25">
        <v>340.68</v>
      </c>
      <c r="D25">
        <v>27828</v>
      </c>
      <c r="E25">
        <v>81.683691440648118</v>
      </c>
      <c r="F25" t="s">
        <v>172</v>
      </c>
      <c r="G25" t="s">
        <v>163</v>
      </c>
      <c r="H25">
        <f>VLOOKUP(CONCATENATE($G25,"-",$F25,"-",$H$2),'Look-ups'!$O$3:$S$34,5,FALSE)*VLOOKUP(CONCATENATE($F25,"-",$H$2,"-",H$3),'Look-ups'!$I$3:$M$24,5,FALSE)</f>
        <v>316</v>
      </c>
      <c r="I25">
        <f>VLOOKUP(CONCATENATE($G25,"-",$F25,"-",$H$2),'Look-ups'!$O$3:$S$34,5,FALSE)*VLOOKUP(CONCATENATE($F25,"-",$H$2,"-",I$3),'Look-ups'!$I$3:$M$24,5,FALSE)</f>
        <v>474</v>
      </c>
      <c r="J25">
        <f>VLOOKUP(CONCATENATE($G25,"-",$F25,"-",$H$2),'Look-ups'!$O$3:$S$34,5,FALSE)*VLOOKUP(CONCATENATE($F25,"-",$H$2,"-",J$3),'Look-ups'!$I$3:$M$24,5,FALSE)</f>
        <v>553</v>
      </c>
      <c r="K25">
        <f>VLOOKUP(CONCATENATE($G25,"-",$F25,"-",$H$2),'Look-ups'!$O$3:$S$34,5,FALSE)*VLOOKUP(CONCATENATE($F25,"-",$H$2,"-",K$3),'Look-ups'!$I$3:$M$24,5,FALSE)</f>
        <v>711</v>
      </c>
      <c r="L25">
        <f>VLOOKUP(CONCATENATE($G25,"-",$F25,"-",$H$2),'Look-ups'!$O$3:$S$34,5,FALSE)*VLOOKUP(CONCATENATE($F25,"-",$H$2,"-",L$3),'Look-ups'!$I$3:$M$24,5,FALSE)</f>
        <v>790</v>
      </c>
      <c r="M25">
        <f>VLOOKUP(CONCATENATE($G25,"-",$F25,"-",$H$2),'Look-ups'!$O$3:$S$34,5,FALSE)*VLOOKUP(CONCATENATE($F25,"-",$H$2,"-",M$3),'Look-ups'!$I$3:$M$24,5,FALSE)</f>
        <v>869</v>
      </c>
      <c r="N25">
        <f>VLOOKUP(CONCATENATE($G25,"-",$F25,"-",$N$2),'Look-ups'!$O$3:$S$34,5,FALSE)*VLOOKUP(CONCATENATE($F25,"-",$N$2,"-",N$3),'Look-ups'!$I$3:$M$24,5,FALSE)</f>
        <v>315</v>
      </c>
      <c r="O25">
        <f>VLOOKUP(CONCATENATE($G25,"-",$F25,"-",$N$2),'Look-ups'!$O$3:$S$34,5,FALSE)*VLOOKUP(CONCATENATE($F25,"-",$N$2,"-",O$3),'Look-ups'!$I$3:$M$24,5,FALSE)</f>
        <v>315</v>
      </c>
      <c r="P25">
        <f>VLOOKUP(CONCATENATE($G25,"-",$F25,"-",$N$2),'Look-ups'!$O$3:$S$34,5,FALSE)*VLOOKUP(CONCATENATE($F25,"-",$N$2,"-",P$3),'Look-ups'!$I$3:$M$24,5,FALSE)</f>
        <v>420</v>
      </c>
      <c r="Q25">
        <f>VLOOKUP(CONCATENATE($G25,"-",$F25,"-",$N$2),'Look-ups'!$O$3:$S$34,5,FALSE)*VLOOKUP(CONCATENATE($F25,"-",$N$2,"-",Q$3),'Look-ups'!$I$3:$M$24,5,FALSE)</f>
        <v>540</v>
      </c>
      <c r="R25">
        <f>VLOOKUP(CONCATENATE($G25,"-",$F25,"-",$N$2),'Look-ups'!$O$3:$S$34,5,FALSE)*VLOOKUP(CONCATENATE($F25,"-",$N$2,"-",R$3),'Look-ups'!$I$3:$M$24,5,FALSE)</f>
        <v>615</v>
      </c>
      <c r="S25" s="117">
        <f>VLOOKUP(CONCATENATE($G25,"-",$F25,"-Lone Person"),'Look-ups'!$Y$4:$AG$35,5,FALSE)</f>
        <v>107</v>
      </c>
      <c r="T25">
        <f>VLOOKUP(CONCATENATE($G25,"-",$F25,"-Lone Person"),'Look-ups'!$Y$4:$AG$35,6,FALSE)</f>
        <v>153.01000000000002</v>
      </c>
      <c r="U25">
        <f>VLOOKUP(CONCATENATE($G25,"-",$F25,"-Lone Person"),'Look-ups'!$Y$4:$AG$35,7,FALSE)</f>
        <v>182.97</v>
      </c>
      <c r="V25">
        <f>VLOOKUP(CONCATENATE($G25,"-",$F25,"-Lone Person"),'Look-ups'!$Y$4:$AG$35,8,FALSE)</f>
        <v>223.63000000000002</v>
      </c>
      <c r="W25">
        <f>VLOOKUP(CONCATENATE($G25,"-",$F25,"-Lone Person"),'Look-ups'!$Y$4:$AG$35,9,FALSE)</f>
        <v>212.93</v>
      </c>
      <c r="X25" s="117">
        <f>VLOOKUP(CONCATENATE($G25,"-",$F25,"-Couple Only"),'Look-ups'!$Y$4:$AG$35,5,FALSE)</f>
        <v>173.34</v>
      </c>
      <c r="Y25">
        <f>VLOOKUP(CONCATENATE($G25,"-",$F25,"-Couple Only"),'Look-ups'!$Y$4:$AG$35,6,FALSE)</f>
        <v>163.71</v>
      </c>
      <c r="Z25">
        <f>VLOOKUP(CONCATENATE($G25,"-",$F25,"-Couple Only"),'Look-ups'!$Y$4:$AG$35,7,FALSE)</f>
        <v>185.11</v>
      </c>
      <c r="AA25">
        <f>VLOOKUP(CONCATENATE($G25,"-",$F25,"-Couple Only"),'Look-ups'!$Y$4:$AG$35,8,FALSE)</f>
        <v>204.37</v>
      </c>
      <c r="AB25">
        <f>VLOOKUP(CONCATENATE($G25,"-",$F25,"-Couple Only"),'Look-ups'!$Y$4:$AG$35,9,FALSE)</f>
        <v>256.8</v>
      </c>
      <c r="AC25">
        <v>15</v>
      </c>
      <c r="AD25" t="s">
        <v>163</v>
      </c>
      <c r="AE25" s="287">
        <f>VLOOKUP($AD25,'Look-ups'!$A$122:$G$130,5,FALSE)</f>
        <v>9.1436865021770675E-2</v>
      </c>
      <c r="AF25" s="287">
        <f>VLOOKUP($AD25,'Look-ups'!$A$122:$G$130,6,FALSE)</f>
        <v>0.2815674891146589</v>
      </c>
      <c r="AG25" s="287">
        <f>VLOOKUP($AD25,'Look-ups'!$A$122:$G$130,7,FALSE)</f>
        <v>0.62699564586357037</v>
      </c>
      <c r="AH25" s="291">
        <f>VLOOKUP($AC25,'Look-ups'!$A$50:$AO$118,'Look-ups'!$B$133*4,FALSE)*0.277778</f>
        <v>18.727289044025561</v>
      </c>
      <c r="AI25" s="291">
        <f>VLOOKUP($AC25,'Look-ups'!$A$50:$AO$118,'Look-ups'!$B$133*4+1,FALSE)*0.277778</f>
        <v>17.939406955974444</v>
      </c>
      <c r="AJ25" s="291">
        <f>AE25*$AH25/'Look-ups'!$B$141</f>
        <v>2.2383850987480396</v>
      </c>
      <c r="AK25" s="291">
        <f>AF25*$AH25/'Look-ups'!$B$140</f>
        <v>7.223281854864025</v>
      </c>
      <c r="AL25" s="291">
        <f>AG25*$AH25/'Look-ups'!$B$137</f>
        <v>2.2365578456062041</v>
      </c>
      <c r="AM25" s="291">
        <f>AI25/'Look-ups'!$B$136</f>
        <v>3.7767172538893568</v>
      </c>
      <c r="AN25" s="290">
        <f>AJ25*VLOOKUP($AD25,'Look-ups'!$A$123:$M$130,10,FALSE)</f>
        <v>0.60747284485467623</v>
      </c>
      <c r="AO25" s="290">
        <f>AK25*VLOOKUP($AD25,'Look-ups'!$A$123:$M$130,9,FALSE)</f>
        <v>1.114133439857937</v>
      </c>
      <c r="AP25" s="290">
        <f>(AL25+AM25)*VLOOKUP($AD25,'Look-ups'!$A$123:$M$130,8,FALSE)</f>
        <v>1.9242480318385793</v>
      </c>
      <c r="AQ25" s="290">
        <f t="shared" si="0"/>
        <v>3.6458543165511923</v>
      </c>
      <c r="AR25" s="292">
        <f>AJ25*VLOOKUP($AD25,'Look-ups'!$A$123:$M$130,11,FALSE)</f>
        <v>9.6700943892344283E-3</v>
      </c>
      <c r="AS25" s="292">
        <f>AK25*VLOOKUP($AD25,'Look-ups'!$A$123:$M$130,12,FALSE)</f>
        <v>1.340014090726656</v>
      </c>
      <c r="AT25" s="292">
        <f>(AL25+AM25)*VLOOKUP($AD25,'Look-ups'!$A$123:$M$130,13,FALSE)</f>
        <v>1.5478170106101574</v>
      </c>
      <c r="AU25" s="292">
        <f t="shared" si="1"/>
        <v>2.8975011957260479</v>
      </c>
      <c r="AW25" t="s">
        <v>322</v>
      </c>
    </row>
    <row r="26" spans="1:53" x14ac:dyDescent="0.25">
      <c r="A26">
        <v>1022</v>
      </c>
      <c r="B26" t="s">
        <v>322</v>
      </c>
      <c r="C26">
        <v>65.894900000000007</v>
      </c>
      <c r="D26">
        <v>12563</v>
      </c>
      <c r="E26">
        <v>190.65208384867415</v>
      </c>
      <c r="F26" t="s">
        <v>172</v>
      </c>
      <c r="G26" t="s">
        <v>163</v>
      </c>
      <c r="H26">
        <f>VLOOKUP(CONCATENATE($G26,"-",$F26,"-",$H$2),'Look-ups'!$O$3:$S$34,5,FALSE)*VLOOKUP(CONCATENATE($F26,"-",$H$2,"-",H$3),'Look-ups'!$I$3:$M$24,5,FALSE)</f>
        <v>316</v>
      </c>
      <c r="I26">
        <f>VLOOKUP(CONCATENATE($G26,"-",$F26,"-",$H$2),'Look-ups'!$O$3:$S$34,5,FALSE)*VLOOKUP(CONCATENATE($F26,"-",$H$2,"-",I$3),'Look-ups'!$I$3:$M$24,5,FALSE)</f>
        <v>474</v>
      </c>
      <c r="J26">
        <f>VLOOKUP(CONCATENATE($G26,"-",$F26,"-",$H$2),'Look-ups'!$O$3:$S$34,5,FALSE)*VLOOKUP(CONCATENATE($F26,"-",$H$2,"-",J$3),'Look-ups'!$I$3:$M$24,5,FALSE)</f>
        <v>553</v>
      </c>
      <c r="K26">
        <f>VLOOKUP(CONCATENATE($G26,"-",$F26,"-",$H$2),'Look-ups'!$O$3:$S$34,5,FALSE)*VLOOKUP(CONCATENATE($F26,"-",$H$2,"-",K$3),'Look-ups'!$I$3:$M$24,5,FALSE)</f>
        <v>711</v>
      </c>
      <c r="L26">
        <f>VLOOKUP(CONCATENATE($G26,"-",$F26,"-",$H$2),'Look-ups'!$O$3:$S$34,5,FALSE)*VLOOKUP(CONCATENATE($F26,"-",$H$2,"-",L$3),'Look-ups'!$I$3:$M$24,5,FALSE)</f>
        <v>790</v>
      </c>
      <c r="M26">
        <f>VLOOKUP(CONCATENATE($G26,"-",$F26,"-",$H$2),'Look-ups'!$O$3:$S$34,5,FALSE)*VLOOKUP(CONCATENATE($F26,"-",$H$2,"-",M$3),'Look-ups'!$I$3:$M$24,5,FALSE)</f>
        <v>869</v>
      </c>
      <c r="N26">
        <f>VLOOKUP(CONCATENATE($G26,"-",$F26,"-",$N$2),'Look-ups'!$O$3:$S$34,5,FALSE)*VLOOKUP(CONCATENATE($F26,"-",$N$2,"-",N$3),'Look-ups'!$I$3:$M$24,5,FALSE)</f>
        <v>315</v>
      </c>
      <c r="O26">
        <f>VLOOKUP(CONCATENATE($G26,"-",$F26,"-",$N$2),'Look-ups'!$O$3:$S$34,5,FALSE)*VLOOKUP(CONCATENATE($F26,"-",$N$2,"-",O$3),'Look-ups'!$I$3:$M$24,5,FALSE)</f>
        <v>315</v>
      </c>
      <c r="P26">
        <f>VLOOKUP(CONCATENATE($G26,"-",$F26,"-",$N$2),'Look-ups'!$O$3:$S$34,5,FALSE)*VLOOKUP(CONCATENATE($F26,"-",$N$2,"-",P$3),'Look-ups'!$I$3:$M$24,5,FALSE)</f>
        <v>420</v>
      </c>
      <c r="Q26">
        <f>VLOOKUP(CONCATENATE($G26,"-",$F26,"-",$N$2),'Look-ups'!$O$3:$S$34,5,FALSE)*VLOOKUP(CONCATENATE($F26,"-",$N$2,"-",Q$3),'Look-ups'!$I$3:$M$24,5,FALSE)</f>
        <v>540</v>
      </c>
      <c r="R26">
        <f>VLOOKUP(CONCATENATE($G26,"-",$F26,"-",$N$2),'Look-ups'!$O$3:$S$34,5,FALSE)*VLOOKUP(CONCATENATE($F26,"-",$N$2,"-",R$3),'Look-ups'!$I$3:$M$24,5,FALSE)</f>
        <v>615</v>
      </c>
      <c r="S26" s="117">
        <f>VLOOKUP(CONCATENATE($G26,"-",$F26,"-Lone Person"),'Look-ups'!$Y$4:$AG$35,5,FALSE)</f>
        <v>107</v>
      </c>
      <c r="T26">
        <f>VLOOKUP(CONCATENATE($G26,"-",$F26,"-Lone Person"),'Look-ups'!$Y$4:$AG$35,6,FALSE)</f>
        <v>153.01000000000002</v>
      </c>
      <c r="U26">
        <f>VLOOKUP(CONCATENATE($G26,"-",$F26,"-Lone Person"),'Look-ups'!$Y$4:$AG$35,7,FALSE)</f>
        <v>182.97</v>
      </c>
      <c r="V26">
        <f>VLOOKUP(CONCATENATE($G26,"-",$F26,"-Lone Person"),'Look-ups'!$Y$4:$AG$35,8,FALSE)</f>
        <v>223.63000000000002</v>
      </c>
      <c r="W26">
        <f>VLOOKUP(CONCATENATE($G26,"-",$F26,"-Lone Person"),'Look-ups'!$Y$4:$AG$35,9,FALSE)</f>
        <v>212.93</v>
      </c>
      <c r="X26" s="117">
        <f>VLOOKUP(CONCATENATE($G26,"-",$F26,"-Couple Only"),'Look-ups'!$Y$4:$AG$35,5,FALSE)</f>
        <v>173.34</v>
      </c>
      <c r="Y26">
        <f>VLOOKUP(CONCATENATE($G26,"-",$F26,"-Couple Only"),'Look-ups'!$Y$4:$AG$35,6,FALSE)</f>
        <v>163.71</v>
      </c>
      <c r="Z26">
        <f>VLOOKUP(CONCATENATE($G26,"-",$F26,"-Couple Only"),'Look-ups'!$Y$4:$AG$35,7,FALSE)</f>
        <v>185.11</v>
      </c>
      <c r="AA26">
        <f>VLOOKUP(CONCATENATE($G26,"-",$F26,"-Couple Only"),'Look-ups'!$Y$4:$AG$35,8,FALSE)</f>
        <v>204.37</v>
      </c>
      <c r="AB26">
        <f>VLOOKUP(CONCATENATE($G26,"-",$F26,"-Couple Only"),'Look-ups'!$Y$4:$AG$35,9,FALSE)</f>
        <v>256.8</v>
      </c>
      <c r="AC26">
        <v>65</v>
      </c>
      <c r="AD26" t="s">
        <v>163</v>
      </c>
      <c r="AE26" s="287">
        <f>VLOOKUP($AD26,'Look-ups'!$A$122:$G$130,5,FALSE)</f>
        <v>9.1436865021770675E-2</v>
      </c>
      <c r="AF26" s="287">
        <f>VLOOKUP($AD26,'Look-ups'!$A$122:$G$130,6,FALSE)</f>
        <v>0.2815674891146589</v>
      </c>
      <c r="AG26" s="287">
        <f>VLOOKUP($AD26,'Look-ups'!$A$122:$G$130,7,FALSE)</f>
        <v>0.62699564586357037</v>
      </c>
      <c r="AH26" s="291">
        <f>VLOOKUP($AC26,'Look-ups'!$A$50:$AO$118,'Look-ups'!$B$133*4,FALSE)*0.277778</f>
        <v>118.60883174298655</v>
      </c>
      <c r="AI26" s="291">
        <f>VLOOKUP($AC26,'Look-ups'!$A$50:$AO$118,'Look-ups'!$B$133*4+1,FALSE)*0.277778</f>
        <v>10.00238225701346</v>
      </c>
      <c r="AJ26" s="291">
        <f>AE26*$AH26/'Look-ups'!$B$141</f>
        <v>14.176757828069766</v>
      </c>
      <c r="AK26" s="291">
        <f>AF26*$AH26/'Look-ups'!$B$140</f>
        <v>45.748480740679142</v>
      </c>
      <c r="AL26" s="291">
        <f>AG26*$AH26/'Look-ups'!$B$137</f>
        <v>14.165184964536646</v>
      </c>
      <c r="AM26" s="291">
        <f>AI26/'Look-ups'!$B$136</f>
        <v>2.1057646856870442</v>
      </c>
      <c r="AN26" s="290">
        <f>AJ26*VLOOKUP($AD26,'Look-ups'!$A$123:$M$130,10,FALSE)</f>
        <v>3.8474145550067109</v>
      </c>
      <c r="AO26" s="290">
        <f>AK26*VLOOKUP($AD26,'Look-ups'!$A$123:$M$130,9,FALSE)</f>
        <v>7.056337166403833</v>
      </c>
      <c r="AP26" s="290">
        <f>(AL26+AM26)*VLOOKUP($AD26,'Look-ups'!$A$123:$M$130,8,FALSE)</f>
        <v>5.2067038880715817</v>
      </c>
      <c r="AQ26" s="290">
        <f t="shared" si="0"/>
        <v>16.110455609482123</v>
      </c>
      <c r="AR26" s="292">
        <f>AJ26*VLOOKUP($AD26,'Look-ups'!$A$123:$M$130,11,FALSE)</f>
        <v>6.1245308685904588E-2</v>
      </c>
      <c r="AS26" s="292">
        <f>AK26*VLOOKUP($AD26,'Look-ups'!$A$123:$M$130,12,FALSE)</f>
        <v>8.4869467997522996</v>
      </c>
      <c r="AT26" s="292">
        <f>(AL26+AM26)*VLOOKUP($AD26,'Look-ups'!$A$123:$M$130,13,FALSE)</f>
        <v>4.1881424399675788</v>
      </c>
      <c r="AU26" s="292">
        <f t="shared" si="1"/>
        <v>12.736334548405782</v>
      </c>
      <c r="AW26" t="s">
        <v>323</v>
      </c>
    </row>
    <row r="27" spans="1:53" x14ac:dyDescent="0.25">
      <c r="A27">
        <v>1023</v>
      </c>
      <c r="B27" t="s">
        <v>323</v>
      </c>
      <c r="C27">
        <v>262.39640000000003</v>
      </c>
      <c r="D27">
        <v>12272</v>
      </c>
      <c r="E27">
        <v>46.768934329891714</v>
      </c>
      <c r="F27" t="s">
        <v>172</v>
      </c>
      <c r="G27" t="s">
        <v>163</v>
      </c>
      <c r="H27">
        <f>VLOOKUP(CONCATENATE($G27,"-",$F27,"-",$H$2),'Look-ups'!$O$3:$S$34,5,FALSE)*VLOOKUP(CONCATENATE($F27,"-",$H$2,"-",H$3),'Look-ups'!$I$3:$M$24,5,FALSE)</f>
        <v>316</v>
      </c>
      <c r="I27">
        <f>VLOOKUP(CONCATENATE($G27,"-",$F27,"-",$H$2),'Look-ups'!$O$3:$S$34,5,FALSE)*VLOOKUP(CONCATENATE($F27,"-",$H$2,"-",I$3),'Look-ups'!$I$3:$M$24,5,FALSE)</f>
        <v>474</v>
      </c>
      <c r="J27">
        <f>VLOOKUP(CONCATENATE($G27,"-",$F27,"-",$H$2),'Look-ups'!$O$3:$S$34,5,FALSE)*VLOOKUP(CONCATENATE($F27,"-",$H$2,"-",J$3),'Look-ups'!$I$3:$M$24,5,FALSE)</f>
        <v>553</v>
      </c>
      <c r="K27">
        <f>VLOOKUP(CONCATENATE($G27,"-",$F27,"-",$H$2),'Look-ups'!$O$3:$S$34,5,FALSE)*VLOOKUP(CONCATENATE($F27,"-",$H$2,"-",K$3),'Look-ups'!$I$3:$M$24,5,FALSE)</f>
        <v>711</v>
      </c>
      <c r="L27">
        <f>VLOOKUP(CONCATENATE($G27,"-",$F27,"-",$H$2),'Look-ups'!$O$3:$S$34,5,FALSE)*VLOOKUP(CONCATENATE($F27,"-",$H$2,"-",L$3),'Look-ups'!$I$3:$M$24,5,FALSE)</f>
        <v>790</v>
      </c>
      <c r="M27">
        <f>VLOOKUP(CONCATENATE($G27,"-",$F27,"-",$H$2),'Look-ups'!$O$3:$S$34,5,FALSE)*VLOOKUP(CONCATENATE($F27,"-",$H$2,"-",M$3),'Look-ups'!$I$3:$M$24,5,FALSE)</f>
        <v>869</v>
      </c>
      <c r="N27">
        <f>VLOOKUP(CONCATENATE($G27,"-",$F27,"-",$N$2),'Look-ups'!$O$3:$S$34,5,FALSE)*VLOOKUP(CONCATENATE($F27,"-",$N$2,"-",N$3),'Look-ups'!$I$3:$M$24,5,FALSE)</f>
        <v>315</v>
      </c>
      <c r="O27">
        <f>VLOOKUP(CONCATENATE($G27,"-",$F27,"-",$N$2),'Look-ups'!$O$3:$S$34,5,FALSE)*VLOOKUP(CONCATENATE($F27,"-",$N$2,"-",O$3),'Look-ups'!$I$3:$M$24,5,FALSE)</f>
        <v>315</v>
      </c>
      <c r="P27">
        <f>VLOOKUP(CONCATENATE($G27,"-",$F27,"-",$N$2),'Look-ups'!$O$3:$S$34,5,FALSE)*VLOOKUP(CONCATENATE($F27,"-",$N$2,"-",P$3),'Look-ups'!$I$3:$M$24,5,FALSE)</f>
        <v>420</v>
      </c>
      <c r="Q27">
        <f>VLOOKUP(CONCATENATE($G27,"-",$F27,"-",$N$2),'Look-ups'!$O$3:$S$34,5,FALSE)*VLOOKUP(CONCATENATE($F27,"-",$N$2,"-",Q$3),'Look-ups'!$I$3:$M$24,5,FALSE)</f>
        <v>540</v>
      </c>
      <c r="R27">
        <f>VLOOKUP(CONCATENATE($G27,"-",$F27,"-",$N$2),'Look-ups'!$O$3:$S$34,5,FALSE)*VLOOKUP(CONCATENATE($F27,"-",$N$2,"-",R$3),'Look-ups'!$I$3:$M$24,5,FALSE)</f>
        <v>615</v>
      </c>
      <c r="S27" s="117">
        <f>VLOOKUP(CONCATENATE($G27,"-",$F27,"-Lone Person"),'Look-ups'!$Y$4:$AG$35,5,FALSE)</f>
        <v>107</v>
      </c>
      <c r="T27">
        <f>VLOOKUP(CONCATENATE($G27,"-",$F27,"-Lone Person"),'Look-ups'!$Y$4:$AG$35,6,FALSE)</f>
        <v>153.01000000000002</v>
      </c>
      <c r="U27">
        <f>VLOOKUP(CONCATENATE($G27,"-",$F27,"-Lone Person"),'Look-ups'!$Y$4:$AG$35,7,FALSE)</f>
        <v>182.97</v>
      </c>
      <c r="V27">
        <f>VLOOKUP(CONCATENATE($G27,"-",$F27,"-Lone Person"),'Look-ups'!$Y$4:$AG$35,8,FALSE)</f>
        <v>223.63000000000002</v>
      </c>
      <c r="W27">
        <f>VLOOKUP(CONCATENATE($G27,"-",$F27,"-Lone Person"),'Look-ups'!$Y$4:$AG$35,9,FALSE)</f>
        <v>212.93</v>
      </c>
      <c r="X27" s="117">
        <f>VLOOKUP(CONCATENATE($G27,"-",$F27,"-Couple Only"),'Look-ups'!$Y$4:$AG$35,5,FALSE)</f>
        <v>173.34</v>
      </c>
      <c r="Y27">
        <f>VLOOKUP(CONCATENATE($G27,"-",$F27,"-Couple Only"),'Look-ups'!$Y$4:$AG$35,6,FALSE)</f>
        <v>163.71</v>
      </c>
      <c r="Z27">
        <f>VLOOKUP(CONCATENATE($G27,"-",$F27,"-Couple Only"),'Look-ups'!$Y$4:$AG$35,7,FALSE)</f>
        <v>185.11</v>
      </c>
      <c r="AA27">
        <f>VLOOKUP(CONCATENATE($G27,"-",$F27,"-Couple Only"),'Look-ups'!$Y$4:$AG$35,8,FALSE)</f>
        <v>204.37</v>
      </c>
      <c r="AB27">
        <f>VLOOKUP(CONCATENATE($G27,"-",$F27,"-Couple Only"),'Look-ups'!$Y$4:$AG$35,9,FALSE)</f>
        <v>256.8</v>
      </c>
      <c r="AC27">
        <v>65</v>
      </c>
      <c r="AD27" t="s">
        <v>163</v>
      </c>
      <c r="AE27" s="287">
        <f>VLOOKUP($AD27,'Look-ups'!$A$122:$G$130,5,FALSE)</f>
        <v>9.1436865021770675E-2</v>
      </c>
      <c r="AF27" s="287">
        <f>VLOOKUP($AD27,'Look-ups'!$A$122:$G$130,6,FALSE)</f>
        <v>0.2815674891146589</v>
      </c>
      <c r="AG27" s="287">
        <f>VLOOKUP($AD27,'Look-ups'!$A$122:$G$130,7,FALSE)</f>
        <v>0.62699564586357037</v>
      </c>
      <c r="AH27" s="291">
        <f>VLOOKUP($AC27,'Look-ups'!$A$50:$AO$118,'Look-ups'!$B$133*4,FALSE)*0.277778</f>
        <v>118.60883174298655</v>
      </c>
      <c r="AI27" s="291">
        <f>VLOOKUP($AC27,'Look-ups'!$A$50:$AO$118,'Look-ups'!$B$133*4+1,FALSE)*0.277778</f>
        <v>10.00238225701346</v>
      </c>
      <c r="AJ27" s="291">
        <f>AE27*$AH27/'Look-ups'!$B$141</f>
        <v>14.176757828069766</v>
      </c>
      <c r="AK27" s="291">
        <f>AF27*$AH27/'Look-ups'!$B$140</f>
        <v>45.748480740679142</v>
      </c>
      <c r="AL27" s="291">
        <f>AG27*$AH27/'Look-ups'!$B$137</f>
        <v>14.165184964536646</v>
      </c>
      <c r="AM27" s="291">
        <f>AI27/'Look-ups'!$B$136</f>
        <v>2.1057646856870442</v>
      </c>
      <c r="AN27" s="290">
        <f>AJ27*VLOOKUP($AD27,'Look-ups'!$A$123:$M$130,10,FALSE)</f>
        <v>3.8474145550067109</v>
      </c>
      <c r="AO27" s="290">
        <f>AK27*VLOOKUP($AD27,'Look-ups'!$A$123:$M$130,9,FALSE)</f>
        <v>7.056337166403833</v>
      </c>
      <c r="AP27" s="290">
        <f>(AL27+AM27)*VLOOKUP($AD27,'Look-ups'!$A$123:$M$130,8,FALSE)</f>
        <v>5.2067038880715817</v>
      </c>
      <c r="AQ27" s="290">
        <f t="shared" si="0"/>
        <v>16.110455609482123</v>
      </c>
      <c r="AR27" s="292">
        <f>AJ27*VLOOKUP($AD27,'Look-ups'!$A$123:$M$130,11,FALSE)</f>
        <v>6.1245308685904588E-2</v>
      </c>
      <c r="AS27" s="292">
        <f>AK27*VLOOKUP($AD27,'Look-ups'!$A$123:$M$130,12,FALSE)</f>
        <v>8.4869467997522996</v>
      </c>
      <c r="AT27" s="292">
        <f>(AL27+AM27)*VLOOKUP($AD27,'Look-ups'!$A$123:$M$130,13,FALSE)</f>
        <v>4.1881424399675788</v>
      </c>
      <c r="AU27" s="292">
        <f t="shared" si="1"/>
        <v>12.736334548405782</v>
      </c>
      <c r="AW27" t="s">
        <v>324</v>
      </c>
    </row>
    <row r="28" spans="1:53" x14ac:dyDescent="0.25">
      <c r="A28">
        <v>1024</v>
      </c>
      <c r="B28" t="s">
        <v>324</v>
      </c>
      <c r="C28">
        <v>115.5262</v>
      </c>
      <c r="D28">
        <v>28418</v>
      </c>
      <c r="E28">
        <v>245.98749028358935</v>
      </c>
      <c r="F28" t="s">
        <v>172</v>
      </c>
      <c r="G28" t="s">
        <v>163</v>
      </c>
      <c r="H28">
        <f>VLOOKUP(CONCATENATE($G28,"-",$F28,"-",$H$2),'Look-ups'!$O$3:$S$34,5,FALSE)*VLOOKUP(CONCATENATE($F28,"-",$H$2,"-",H$3),'Look-ups'!$I$3:$M$24,5,FALSE)</f>
        <v>316</v>
      </c>
      <c r="I28">
        <f>VLOOKUP(CONCATENATE($G28,"-",$F28,"-",$H$2),'Look-ups'!$O$3:$S$34,5,FALSE)*VLOOKUP(CONCATENATE($F28,"-",$H$2,"-",I$3),'Look-ups'!$I$3:$M$24,5,FALSE)</f>
        <v>474</v>
      </c>
      <c r="J28">
        <f>VLOOKUP(CONCATENATE($G28,"-",$F28,"-",$H$2),'Look-ups'!$O$3:$S$34,5,FALSE)*VLOOKUP(CONCATENATE($F28,"-",$H$2,"-",J$3),'Look-ups'!$I$3:$M$24,5,FALSE)</f>
        <v>553</v>
      </c>
      <c r="K28">
        <f>VLOOKUP(CONCATENATE($G28,"-",$F28,"-",$H$2),'Look-ups'!$O$3:$S$34,5,FALSE)*VLOOKUP(CONCATENATE($F28,"-",$H$2,"-",K$3),'Look-ups'!$I$3:$M$24,5,FALSE)</f>
        <v>711</v>
      </c>
      <c r="L28">
        <f>VLOOKUP(CONCATENATE($G28,"-",$F28,"-",$H$2),'Look-ups'!$O$3:$S$34,5,FALSE)*VLOOKUP(CONCATENATE($F28,"-",$H$2,"-",L$3),'Look-ups'!$I$3:$M$24,5,FALSE)</f>
        <v>790</v>
      </c>
      <c r="M28">
        <f>VLOOKUP(CONCATENATE($G28,"-",$F28,"-",$H$2),'Look-ups'!$O$3:$S$34,5,FALSE)*VLOOKUP(CONCATENATE($F28,"-",$H$2,"-",M$3),'Look-ups'!$I$3:$M$24,5,FALSE)</f>
        <v>869</v>
      </c>
      <c r="N28">
        <f>VLOOKUP(CONCATENATE($G28,"-",$F28,"-",$N$2),'Look-ups'!$O$3:$S$34,5,FALSE)*VLOOKUP(CONCATENATE($F28,"-",$N$2,"-",N$3),'Look-ups'!$I$3:$M$24,5,FALSE)</f>
        <v>315</v>
      </c>
      <c r="O28">
        <f>VLOOKUP(CONCATENATE($G28,"-",$F28,"-",$N$2),'Look-ups'!$O$3:$S$34,5,FALSE)*VLOOKUP(CONCATENATE($F28,"-",$N$2,"-",O$3),'Look-ups'!$I$3:$M$24,5,FALSE)</f>
        <v>315</v>
      </c>
      <c r="P28">
        <f>VLOOKUP(CONCATENATE($G28,"-",$F28,"-",$N$2),'Look-ups'!$O$3:$S$34,5,FALSE)*VLOOKUP(CONCATENATE($F28,"-",$N$2,"-",P$3),'Look-ups'!$I$3:$M$24,5,FALSE)</f>
        <v>420</v>
      </c>
      <c r="Q28">
        <f>VLOOKUP(CONCATENATE($G28,"-",$F28,"-",$N$2),'Look-ups'!$O$3:$S$34,5,FALSE)*VLOOKUP(CONCATENATE($F28,"-",$N$2,"-",Q$3),'Look-ups'!$I$3:$M$24,5,FALSE)</f>
        <v>540</v>
      </c>
      <c r="R28">
        <f>VLOOKUP(CONCATENATE($G28,"-",$F28,"-",$N$2),'Look-ups'!$O$3:$S$34,5,FALSE)*VLOOKUP(CONCATENATE($F28,"-",$N$2,"-",R$3),'Look-ups'!$I$3:$M$24,5,FALSE)</f>
        <v>615</v>
      </c>
      <c r="S28" s="117">
        <f>VLOOKUP(CONCATENATE($G28,"-",$F28,"-Lone Person"),'Look-ups'!$Y$4:$AG$35,5,FALSE)</f>
        <v>107</v>
      </c>
      <c r="T28">
        <f>VLOOKUP(CONCATENATE($G28,"-",$F28,"-Lone Person"),'Look-ups'!$Y$4:$AG$35,6,FALSE)</f>
        <v>153.01000000000002</v>
      </c>
      <c r="U28">
        <f>VLOOKUP(CONCATENATE($G28,"-",$F28,"-Lone Person"),'Look-ups'!$Y$4:$AG$35,7,FALSE)</f>
        <v>182.97</v>
      </c>
      <c r="V28">
        <f>VLOOKUP(CONCATENATE($G28,"-",$F28,"-Lone Person"),'Look-ups'!$Y$4:$AG$35,8,FALSE)</f>
        <v>223.63000000000002</v>
      </c>
      <c r="W28">
        <f>VLOOKUP(CONCATENATE($G28,"-",$F28,"-Lone Person"),'Look-ups'!$Y$4:$AG$35,9,FALSE)</f>
        <v>212.93</v>
      </c>
      <c r="X28" s="117">
        <f>VLOOKUP(CONCATENATE($G28,"-",$F28,"-Couple Only"),'Look-ups'!$Y$4:$AG$35,5,FALSE)</f>
        <v>173.34</v>
      </c>
      <c r="Y28">
        <f>VLOOKUP(CONCATENATE($G28,"-",$F28,"-Couple Only"),'Look-ups'!$Y$4:$AG$35,6,FALSE)</f>
        <v>163.71</v>
      </c>
      <c r="Z28">
        <f>VLOOKUP(CONCATENATE($G28,"-",$F28,"-Couple Only"),'Look-ups'!$Y$4:$AG$35,7,FALSE)</f>
        <v>185.11</v>
      </c>
      <c r="AA28">
        <f>VLOOKUP(CONCATENATE($G28,"-",$F28,"-Couple Only"),'Look-ups'!$Y$4:$AG$35,8,FALSE)</f>
        <v>204.37</v>
      </c>
      <c r="AB28">
        <f>VLOOKUP(CONCATENATE($G28,"-",$F28,"-Couple Only"),'Look-ups'!$Y$4:$AG$35,9,FALSE)</f>
        <v>256.8</v>
      </c>
      <c r="AC28">
        <v>15</v>
      </c>
      <c r="AD28" t="s">
        <v>163</v>
      </c>
      <c r="AE28" s="287">
        <f>VLOOKUP($AD28,'Look-ups'!$A$122:$G$130,5,FALSE)</f>
        <v>9.1436865021770675E-2</v>
      </c>
      <c r="AF28" s="287">
        <f>VLOOKUP($AD28,'Look-ups'!$A$122:$G$130,6,FALSE)</f>
        <v>0.2815674891146589</v>
      </c>
      <c r="AG28" s="287">
        <f>VLOOKUP($AD28,'Look-ups'!$A$122:$G$130,7,FALSE)</f>
        <v>0.62699564586357037</v>
      </c>
      <c r="AH28" s="291">
        <f>VLOOKUP($AC28,'Look-ups'!$A$50:$AO$118,'Look-ups'!$B$133*4,FALSE)*0.277778</f>
        <v>18.727289044025561</v>
      </c>
      <c r="AI28" s="291">
        <f>VLOOKUP($AC28,'Look-ups'!$A$50:$AO$118,'Look-ups'!$B$133*4+1,FALSE)*0.277778</f>
        <v>17.939406955974444</v>
      </c>
      <c r="AJ28" s="291">
        <f>AE28*$AH28/'Look-ups'!$B$141</f>
        <v>2.2383850987480396</v>
      </c>
      <c r="AK28" s="291">
        <f>AF28*$AH28/'Look-ups'!$B$140</f>
        <v>7.223281854864025</v>
      </c>
      <c r="AL28" s="291">
        <f>AG28*$AH28/'Look-ups'!$B$137</f>
        <v>2.2365578456062041</v>
      </c>
      <c r="AM28" s="291">
        <f>AI28/'Look-ups'!$B$136</f>
        <v>3.7767172538893568</v>
      </c>
      <c r="AN28" s="290">
        <f>AJ28*VLOOKUP($AD28,'Look-ups'!$A$123:$M$130,10,FALSE)</f>
        <v>0.60747284485467623</v>
      </c>
      <c r="AO28" s="290">
        <f>AK28*VLOOKUP($AD28,'Look-ups'!$A$123:$M$130,9,FALSE)</f>
        <v>1.114133439857937</v>
      </c>
      <c r="AP28" s="290">
        <f>(AL28+AM28)*VLOOKUP($AD28,'Look-ups'!$A$123:$M$130,8,FALSE)</f>
        <v>1.9242480318385793</v>
      </c>
      <c r="AQ28" s="290">
        <f t="shared" si="0"/>
        <v>3.6458543165511923</v>
      </c>
      <c r="AR28" s="292">
        <f>AJ28*VLOOKUP($AD28,'Look-ups'!$A$123:$M$130,11,FALSE)</f>
        <v>9.6700943892344283E-3</v>
      </c>
      <c r="AS28" s="292">
        <f>AK28*VLOOKUP($AD28,'Look-ups'!$A$123:$M$130,12,FALSE)</f>
        <v>1.340014090726656</v>
      </c>
      <c r="AT28" s="292">
        <f>(AL28+AM28)*VLOOKUP($AD28,'Look-ups'!$A$123:$M$130,13,FALSE)</f>
        <v>1.5478170106101574</v>
      </c>
      <c r="AU28" s="292">
        <f t="shared" si="1"/>
        <v>2.8975011957260479</v>
      </c>
      <c r="AW28" t="s">
        <v>325</v>
      </c>
    </row>
    <row r="29" spans="1:53" x14ac:dyDescent="0.25">
      <c r="A29">
        <v>1025</v>
      </c>
      <c r="B29" t="s">
        <v>325</v>
      </c>
      <c r="C29">
        <v>1179.1011000000001</v>
      </c>
      <c r="D29">
        <v>508437</v>
      </c>
      <c r="E29">
        <v>431.20729850900824</v>
      </c>
      <c r="F29" t="s">
        <v>172</v>
      </c>
      <c r="G29" t="s">
        <v>163</v>
      </c>
      <c r="H29">
        <f>VLOOKUP(CONCATENATE($G29,"-",$F29,"-",$H$2),'Look-ups'!$O$3:$S$34,5,FALSE)*VLOOKUP(CONCATENATE($F29,"-",$H$2,"-",H$3),'Look-ups'!$I$3:$M$24,5,FALSE)</f>
        <v>316</v>
      </c>
      <c r="I29">
        <f>VLOOKUP(CONCATENATE($G29,"-",$F29,"-",$H$2),'Look-ups'!$O$3:$S$34,5,FALSE)*VLOOKUP(CONCATENATE($F29,"-",$H$2,"-",I$3),'Look-ups'!$I$3:$M$24,5,FALSE)</f>
        <v>474</v>
      </c>
      <c r="J29">
        <f>VLOOKUP(CONCATENATE($G29,"-",$F29,"-",$H$2),'Look-ups'!$O$3:$S$34,5,FALSE)*VLOOKUP(CONCATENATE($F29,"-",$H$2,"-",J$3),'Look-ups'!$I$3:$M$24,5,FALSE)</f>
        <v>553</v>
      </c>
      <c r="K29">
        <f>VLOOKUP(CONCATENATE($G29,"-",$F29,"-",$H$2),'Look-ups'!$O$3:$S$34,5,FALSE)*VLOOKUP(CONCATENATE($F29,"-",$H$2,"-",K$3),'Look-ups'!$I$3:$M$24,5,FALSE)</f>
        <v>711</v>
      </c>
      <c r="L29">
        <f>VLOOKUP(CONCATENATE($G29,"-",$F29,"-",$H$2),'Look-ups'!$O$3:$S$34,5,FALSE)*VLOOKUP(CONCATENATE($F29,"-",$H$2,"-",L$3),'Look-ups'!$I$3:$M$24,5,FALSE)</f>
        <v>790</v>
      </c>
      <c r="M29">
        <f>VLOOKUP(CONCATENATE($G29,"-",$F29,"-",$H$2),'Look-ups'!$O$3:$S$34,5,FALSE)*VLOOKUP(CONCATENATE($F29,"-",$H$2,"-",M$3),'Look-ups'!$I$3:$M$24,5,FALSE)</f>
        <v>869</v>
      </c>
      <c r="N29">
        <f>VLOOKUP(CONCATENATE($G29,"-",$F29,"-",$N$2),'Look-ups'!$O$3:$S$34,5,FALSE)*VLOOKUP(CONCATENATE($F29,"-",$N$2,"-",N$3),'Look-ups'!$I$3:$M$24,5,FALSE)</f>
        <v>315</v>
      </c>
      <c r="O29">
        <f>VLOOKUP(CONCATENATE($G29,"-",$F29,"-",$N$2),'Look-ups'!$O$3:$S$34,5,FALSE)*VLOOKUP(CONCATENATE($F29,"-",$N$2,"-",O$3),'Look-ups'!$I$3:$M$24,5,FALSE)</f>
        <v>315</v>
      </c>
      <c r="P29">
        <f>VLOOKUP(CONCATENATE($G29,"-",$F29,"-",$N$2),'Look-ups'!$O$3:$S$34,5,FALSE)*VLOOKUP(CONCATENATE($F29,"-",$N$2,"-",P$3),'Look-ups'!$I$3:$M$24,5,FALSE)</f>
        <v>420</v>
      </c>
      <c r="Q29">
        <f>VLOOKUP(CONCATENATE($G29,"-",$F29,"-",$N$2),'Look-ups'!$O$3:$S$34,5,FALSE)*VLOOKUP(CONCATENATE($F29,"-",$N$2,"-",Q$3),'Look-ups'!$I$3:$M$24,5,FALSE)</f>
        <v>540</v>
      </c>
      <c r="R29">
        <f>VLOOKUP(CONCATENATE($G29,"-",$F29,"-",$N$2),'Look-ups'!$O$3:$S$34,5,FALSE)*VLOOKUP(CONCATENATE($F29,"-",$N$2,"-",R$3),'Look-ups'!$I$3:$M$24,5,FALSE)</f>
        <v>615</v>
      </c>
      <c r="S29" s="117">
        <f>VLOOKUP(CONCATENATE($G29,"-",$F29,"-Lone Person"),'Look-ups'!$Y$4:$AG$35,5,FALSE)</f>
        <v>107</v>
      </c>
      <c r="T29">
        <f>VLOOKUP(CONCATENATE($G29,"-",$F29,"-Lone Person"),'Look-ups'!$Y$4:$AG$35,6,FALSE)</f>
        <v>153.01000000000002</v>
      </c>
      <c r="U29">
        <f>VLOOKUP(CONCATENATE($G29,"-",$F29,"-Lone Person"),'Look-ups'!$Y$4:$AG$35,7,FALSE)</f>
        <v>182.97</v>
      </c>
      <c r="V29">
        <f>VLOOKUP(CONCATENATE($G29,"-",$F29,"-Lone Person"),'Look-ups'!$Y$4:$AG$35,8,FALSE)</f>
        <v>223.63000000000002</v>
      </c>
      <c r="W29">
        <f>VLOOKUP(CONCATENATE($G29,"-",$F29,"-Lone Person"),'Look-ups'!$Y$4:$AG$35,9,FALSE)</f>
        <v>212.93</v>
      </c>
      <c r="X29" s="117">
        <f>VLOOKUP(CONCATENATE($G29,"-",$F29,"-Couple Only"),'Look-ups'!$Y$4:$AG$35,5,FALSE)</f>
        <v>173.34</v>
      </c>
      <c r="Y29">
        <f>VLOOKUP(CONCATENATE($G29,"-",$F29,"-Couple Only"),'Look-ups'!$Y$4:$AG$35,6,FALSE)</f>
        <v>163.71</v>
      </c>
      <c r="Z29">
        <f>VLOOKUP(CONCATENATE($G29,"-",$F29,"-Couple Only"),'Look-ups'!$Y$4:$AG$35,7,FALSE)</f>
        <v>185.11</v>
      </c>
      <c r="AA29">
        <f>VLOOKUP(CONCATENATE($G29,"-",$F29,"-Couple Only"),'Look-ups'!$Y$4:$AG$35,8,FALSE)</f>
        <v>204.37</v>
      </c>
      <c r="AB29">
        <f>VLOOKUP(CONCATENATE($G29,"-",$F29,"-Couple Only"),'Look-ups'!$Y$4:$AG$35,9,FALSE)</f>
        <v>256.8</v>
      </c>
      <c r="AC29">
        <v>15</v>
      </c>
      <c r="AD29" t="s">
        <v>163</v>
      </c>
      <c r="AE29" s="287">
        <f>VLOOKUP($AD29,'Look-ups'!$A$122:$G$130,5,FALSE)</f>
        <v>9.1436865021770675E-2</v>
      </c>
      <c r="AF29" s="287">
        <f>VLOOKUP($AD29,'Look-ups'!$A$122:$G$130,6,FALSE)</f>
        <v>0.2815674891146589</v>
      </c>
      <c r="AG29" s="287">
        <f>VLOOKUP($AD29,'Look-ups'!$A$122:$G$130,7,FALSE)</f>
        <v>0.62699564586357037</v>
      </c>
      <c r="AH29" s="291">
        <f>VLOOKUP($AC29,'Look-ups'!$A$50:$AO$118,'Look-ups'!$B$133*4,FALSE)*0.277778</f>
        <v>18.727289044025561</v>
      </c>
      <c r="AI29" s="291">
        <f>VLOOKUP($AC29,'Look-ups'!$A$50:$AO$118,'Look-ups'!$B$133*4+1,FALSE)*0.277778</f>
        <v>17.939406955974444</v>
      </c>
      <c r="AJ29" s="291">
        <f>AE29*$AH29/'Look-ups'!$B$141</f>
        <v>2.2383850987480396</v>
      </c>
      <c r="AK29" s="291">
        <f>AF29*$AH29/'Look-ups'!$B$140</f>
        <v>7.223281854864025</v>
      </c>
      <c r="AL29" s="291">
        <f>AG29*$AH29/'Look-ups'!$B$137</f>
        <v>2.2365578456062041</v>
      </c>
      <c r="AM29" s="291">
        <f>AI29/'Look-ups'!$B$136</f>
        <v>3.7767172538893568</v>
      </c>
      <c r="AN29" s="290">
        <f>AJ29*VLOOKUP($AD29,'Look-ups'!$A$123:$M$130,10,FALSE)</f>
        <v>0.60747284485467623</v>
      </c>
      <c r="AO29" s="290">
        <f>AK29*VLOOKUP($AD29,'Look-ups'!$A$123:$M$130,9,FALSE)</f>
        <v>1.114133439857937</v>
      </c>
      <c r="AP29" s="290">
        <f>(AL29+AM29)*VLOOKUP($AD29,'Look-ups'!$A$123:$M$130,8,FALSE)</f>
        <v>1.9242480318385793</v>
      </c>
      <c r="AQ29" s="290">
        <f t="shared" si="0"/>
        <v>3.6458543165511923</v>
      </c>
      <c r="AR29" s="292">
        <f>AJ29*VLOOKUP($AD29,'Look-ups'!$A$123:$M$130,11,FALSE)</f>
        <v>9.6700943892344283E-3</v>
      </c>
      <c r="AS29" s="292">
        <f>AK29*VLOOKUP($AD29,'Look-ups'!$A$123:$M$130,12,FALSE)</f>
        <v>1.340014090726656</v>
      </c>
      <c r="AT29" s="292">
        <f>(AL29+AM29)*VLOOKUP($AD29,'Look-ups'!$A$123:$M$130,13,FALSE)</f>
        <v>1.5478170106101574</v>
      </c>
      <c r="AU29" s="292">
        <f t="shared" si="1"/>
        <v>2.8975011957260479</v>
      </c>
      <c r="AW29" t="s">
        <v>326</v>
      </c>
    </row>
    <row r="30" spans="1:53" x14ac:dyDescent="0.25">
      <c r="A30">
        <v>1026</v>
      </c>
      <c r="B30" t="s">
        <v>326</v>
      </c>
      <c r="C30">
        <v>201.411699999999</v>
      </c>
      <c r="D30">
        <v>38678</v>
      </c>
      <c r="E30">
        <v>192.03452431015771</v>
      </c>
      <c r="F30" t="s">
        <v>172</v>
      </c>
      <c r="G30" t="s">
        <v>163</v>
      </c>
      <c r="H30">
        <f>VLOOKUP(CONCATENATE($G30,"-",$F30,"-",$H$2),'Look-ups'!$O$3:$S$34,5,FALSE)*VLOOKUP(CONCATENATE($F30,"-",$H$2,"-",H$3),'Look-ups'!$I$3:$M$24,5,FALSE)</f>
        <v>316</v>
      </c>
      <c r="I30">
        <f>VLOOKUP(CONCATENATE($G30,"-",$F30,"-",$H$2),'Look-ups'!$O$3:$S$34,5,FALSE)*VLOOKUP(CONCATENATE($F30,"-",$H$2,"-",I$3),'Look-ups'!$I$3:$M$24,5,FALSE)</f>
        <v>474</v>
      </c>
      <c r="J30">
        <f>VLOOKUP(CONCATENATE($G30,"-",$F30,"-",$H$2),'Look-ups'!$O$3:$S$34,5,FALSE)*VLOOKUP(CONCATENATE($F30,"-",$H$2,"-",J$3),'Look-ups'!$I$3:$M$24,5,FALSE)</f>
        <v>553</v>
      </c>
      <c r="K30">
        <f>VLOOKUP(CONCATENATE($G30,"-",$F30,"-",$H$2),'Look-ups'!$O$3:$S$34,5,FALSE)*VLOOKUP(CONCATENATE($F30,"-",$H$2,"-",K$3),'Look-ups'!$I$3:$M$24,5,FALSE)</f>
        <v>711</v>
      </c>
      <c r="L30">
        <f>VLOOKUP(CONCATENATE($G30,"-",$F30,"-",$H$2),'Look-ups'!$O$3:$S$34,5,FALSE)*VLOOKUP(CONCATENATE($F30,"-",$H$2,"-",L$3),'Look-ups'!$I$3:$M$24,5,FALSE)</f>
        <v>790</v>
      </c>
      <c r="M30">
        <f>VLOOKUP(CONCATENATE($G30,"-",$F30,"-",$H$2),'Look-ups'!$O$3:$S$34,5,FALSE)*VLOOKUP(CONCATENATE($F30,"-",$H$2,"-",M$3),'Look-ups'!$I$3:$M$24,5,FALSE)</f>
        <v>869</v>
      </c>
      <c r="N30">
        <f>VLOOKUP(CONCATENATE($G30,"-",$F30,"-",$N$2),'Look-ups'!$O$3:$S$34,5,FALSE)*VLOOKUP(CONCATENATE($F30,"-",$N$2,"-",N$3),'Look-ups'!$I$3:$M$24,5,FALSE)</f>
        <v>315</v>
      </c>
      <c r="O30">
        <f>VLOOKUP(CONCATENATE($G30,"-",$F30,"-",$N$2),'Look-ups'!$O$3:$S$34,5,FALSE)*VLOOKUP(CONCATENATE($F30,"-",$N$2,"-",O$3),'Look-ups'!$I$3:$M$24,5,FALSE)</f>
        <v>315</v>
      </c>
      <c r="P30">
        <f>VLOOKUP(CONCATENATE($G30,"-",$F30,"-",$N$2),'Look-ups'!$O$3:$S$34,5,FALSE)*VLOOKUP(CONCATENATE($F30,"-",$N$2,"-",P$3),'Look-ups'!$I$3:$M$24,5,FALSE)</f>
        <v>420</v>
      </c>
      <c r="Q30">
        <f>VLOOKUP(CONCATENATE($G30,"-",$F30,"-",$N$2),'Look-ups'!$O$3:$S$34,5,FALSE)*VLOOKUP(CONCATENATE($F30,"-",$N$2,"-",Q$3),'Look-ups'!$I$3:$M$24,5,FALSE)</f>
        <v>540</v>
      </c>
      <c r="R30">
        <f>VLOOKUP(CONCATENATE($G30,"-",$F30,"-",$N$2),'Look-ups'!$O$3:$S$34,5,FALSE)*VLOOKUP(CONCATENATE($F30,"-",$N$2,"-",R$3),'Look-ups'!$I$3:$M$24,5,FALSE)</f>
        <v>615</v>
      </c>
      <c r="S30" s="117">
        <f>VLOOKUP(CONCATENATE($G30,"-",$F30,"-Lone Person"),'Look-ups'!$Y$4:$AG$35,5,FALSE)</f>
        <v>107</v>
      </c>
      <c r="T30">
        <f>VLOOKUP(CONCATENATE($G30,"-",$F30,"-Lone Person"),'Look-ups'!$Y$4:$AG$35,6,FALSE)</f>
        <v>153.01000000000002</v>
      </c>
      <c r="U30">
        <f>VLOOKUP(CONCATENATE($G30,"-",$F30,"-Lone Person"),'Look-ups'!$Y$4:$AG$35,7,FALSE)</f>
        <v>182.97</v>
      </c>
      <c r="V30">
        <f>VLOOKUP(CONCATENATE($G30,"-",$F30,"-Lone Person"),'Look-ups'!$Y$4:$AG$35,8,FALSE)</f>
        <v>223.63000000000002</v>
      </c>
      <c r="W30">
        <f>VLOOKUP(CONCATENATE($G30,"-",$F30,"-Lone Person"),'Look-ups'!$Y$4:$AG$35,9,FALSE)</f>
        <v>212.93</v>
      </c>
      <c r="X30" s="117">
        <f>VLOOKUP(CONCATENATE($G30,"-",$F30,"-Couple Only"),'Look-ups'!$Y$4:$AG$35,5,FALSE)</f>
        <v>173.34</v>
      </c>
      <c r="Y30">
        <f>VLOOKUP(CONCATENATE($G30,"-",$F30,"-Couple Only"),'Look-ups'!$Y$4:$AG$35,6,FALSE)</f>
        <v>163.71</v>
      </c>
      <c r="Z30">
        <f>VLOOKUP(CONCATENATE($G30,"-",$F30,"-Couple Only"),'Look-ups'!$Y$4:$AG$35,7,FALSE)</f>
        <v>185.11</v>
      </c>
      <c r="AA30">
        <f>VLOOKUP(CONCATENATE($G30,"-",$F30,"-Couple Only"),'Look-ups'!$Y$4:$AG$35,8,FALSE)</f>
        <v>204.37</v>
      </c>
      <c r="AB30">
        <f>VLOOKUP(CONCATENATE($G30,"-",$F30,"-Couple Only"),'Look-ups'!$Y$4:$AG$35,9,FALSE)</f>
        <v>256.8</v>
      </c>
      <c r="AC30">
        <v>18</v>
      </c>
      <c r="AD30" t="s">
        <v>163</v>
      </c>
      <c r="AE30" s="287">
        <f>VLOOKUP($AD30,'Look-ups'!$A$122:$G$130,5,FALSE)</f>
        <v>9.1436865021770675E-2</v>
      </c>
      <c r="AF30" s="287">
        <f>VLOOKUP($AD30,'Look-ups'!$A$122:$G$130,6,FALSE)</f>
        <v>0.2815674891146589</v>
      </c>
      <c r="AG30" s="287">
        <f>VLOOKUP($AD30,'Look-ups'!$A$122:$G$130,7,FALSE)</f>
        <v>0.62699564586357037</v>
      </c>
      <c r="AH30" s="291">
        <f>VLOOKUP($AC30,'Look-ups'!$A$50:$AO$118,'Look-ups'!$B$133*4,FALSE)*0.277778</f>
        <v>33.381647555082509</v>
      </c>
      <c r="AI30" s="291">
        <f>VLOOKUP($AC30,'Look-ups'!$A$50:$AO$118,'Look-ups'!$B$133*4+1,FALSE)*0.277778</f>
        <v>20.785062444917497</v>
      </c>
      <c r="AJ30" s="291">
        <f>AE30*$AH30/'Look-ups'!$B$141</f>
        <v>3.9899518976449686</v>
      </c>
      <c r="AK30" s="291">
        <f>AF30*$AH30/'Look-ups'!$B$140</f>
        <v>12.875598198075444</v>
      </c>
      <c r="AL30" s="291">
        <f>AG30*$AH30/'Look-ups'!$B$137</f>
        <v>3.9866947940550537</v>
      </c>
      <c r="AM30" s="291">
        <f>AI30/'Look-ups'!$B$136</f>
        <v>4.3758026199826308</v>
      </c>
      <c r="AN30" s="290">
        <f>AJ30*VLOOKUP($AD30,'Look-ups'!$A$123:$M$130,10,FALSE)</f>
        <v>1.0828286122219817</v>
      </c>
      <c r="AO30" s="290">
        <f>AK30*VLOOKUP($AD30,'Look-ups'!$A$123:$M$130,9,FALSE)</f>
        <v>1.9859580172675528</v>
      </c>
      <c r="AP30" s="290">
        <f>(AL30+AM30)*VLOOKUP($AD30,'Look-ups'!$A$123:$M$130,8,FALSE)</f>
        <v>2.6759991724920589</v>
      </c>
      <c r="AQ30" s="290">
        <f t="shared" si="0"/>
        <v>5.7447858019815934</v>
      </c>
      <c r="AR30" s="292">
        <f>AJ30*VLOOKUP($AD30,'Look-ups'!$A$123:$M$130,11,FALSE)</f>
        <v>1.723707483592167E-2</v>
      </c>
      <c r="AS30" s="292">
        <f>AK30*VLOOKUP($AD30,'Look-ups'!$A$123:$M$130,12,FALSE)</f>
        <v>2.3885933511424118</v>
      </c>
      <c r="AT30" s="292">
        <f>(AL30+AM30)*VLOOKUP($AD30,'Look-ups'!$A$123:$M$130,13,FALSE)</f>
        <v>2.1525068343733</v>
      </c>
      <c r="AU30" s="292">
        <f t="shared" si="1"/>
        <v>4.5583372603516334</v>
      </c>
      <c r="AW30" t="s">
        <v>327</v>
      </c>
    </row>
    <row r="31" spans="1:53" x14ac:dyDescent="0.25">
      <c r="A31">
        <v>1027</v>
      </c>
      <c r="B31" t="s">
        <v>327</v>
      </c>
      <c r="C31">
        <v>144.761799999999</v>
      </c>
      <c r="D31">
        <v>41920</v>
      </c>
      <c r="E31">
        <v>289.57915693228665</v>
      </c>
      <c r="F31" t="s">
        <v>172</v>
      </c>
      <c r="G31" t="s">
        <v>163</v>
      </c>
      <c r="H31">
        <f>VLOOKUP(CONCATENATE($G31,"-",$F31,"-",$H$2),'Look-ups'!$O$3:$S$34,5,FALSE)*VLOOKUP(CONCATENATE($F31,"-",$H$2,"-",H$3),'Look-ups'!$I$3:$M$24,5,FALSE)</f>
        <v>316</v>
      </c>
      <c r="I31">
        <f>VLOOKUP(CONCATENATE($G31,"-",$F31,"-",$H$2),'Look-ups'!$O$3:$S$34,5,FALSE)*VLOOKUP(CONCATENATE($F31,"-",$H$2,"-",I$3),'Look-ups'!$I$3:$M$24,5,FALSE)</f>
        <v>474</v>
      </c>
      <c r="J31">
        <f>VLOOKUP(CONCATENATE($G31,"-",$F31,"-",$H$2),'Look-ups'!$O$3:$S$34,5,FALSE)*VLOOKUP(CONCATENATE($F31,"-",$H$2,"-",J$3),'Look-ups'!$I$3:$M$24,5,FALSE)</f>
        <v>553</v>
      </c>
      <c r="K31">
        <f>VLOOKUP(CONCATENATE($G31,"-",$F31,"-",$H$2),'Look-ups'!$O$3:$S$34,5,FALSE)*VLOOKUP(CONCATENATE($F31,"-",$H$2,"-",K$3),'Look-ups'!$I$3:$M$24,5,FALSE)</f>
        <v>711</v>
      </c>
      <c r="L31">
        <f>VLOOKUP(CONCATENATE($G31,"-",$F31,"-",$H$2),'Look-ups'!$O$3:$S$34,5,FALSE)*VLOOKUP(CONCATENATE($F31,"-",$H$2,"-",L$3),'Look-ups'!$I$3:$M$24,5,FALSE)</f>
        <v>790</v>
      </c>
      <c r="M31">
        <f>VLOOKUP(CONCATENATE($G31,"-",$F31,"-",$H$2),'Look-ups'!$O$3:$S$34,5,FALSE)*VLOOKUP(CONCATENATE($F31,"-",$H$2,"-",M$3),'Look-ups'!$I$3:$M$24,5,FALSE)</f>
        <v>869</v>
      </c>
      <c r="N31">
        <f>VLOOKUP(CONCATENATE($G31,"-",$F31,"-",$N$2),'Look-ups'!$O$3:$S$34,5,FALSE)*VLOOKUP(CONCATENATE($F31,"-",$N$2,"-",N$3),'Look-ups'!$I$3:$M$24,5,FALSE)</f>
        <v>315</v>
      </c>
      <c r="O31">
        <f>VLOOKUP(CONCATENATE($G31,"-",$F31,"-",$N$2),'Look-ups'!$O$3:$S$34,5,FALSE)*VLOOKUP(CONCATENATE($F31,"-",$N$2,"-",O$3),'Look-ups'!$I$3:$M$24,5,FALSE)</f>
        <v>315</v>
      </c>
      <c r="P31">
        <f>VLOOKUP(CONCATENATE($G31,"-",$F31,"-",$N$2),'Look-ups'!$O$3:$S$34,5,FALSE)*VLOOKUP(CONCATENATE($F31,"-",$N$2,"-",P$3),'Look-ups'!$I$3:$M$24,5,FALSE)</f>
        <v>420</v>
      </c>
      <c r="Q31">
        <f>VLOOKUP(CONCATENATE($G31,"-",$F31,"-",$N$2),'Look-ups'!$O$3:$S$34,5,FALSE)*VLOOKUP(CONCATENATE($F31,"-",$N$2,"-",Q$3),'Look-ups'!$I$3:$M$24,5,FALSE)</f>
        <v>540</v>
      </c>
      <c r="R31">
        <f>VLOOKUP(CONCATENATE($G31,"-",$F31,"-",$N$2),'Look-ups'!$O$3:$S$34,5,FALSE)*VLOOKUP(CONCATENATE($F31,"-",$N$2,"-",R$3),'Look-ups'!$I$3:$M$24,5,FALSE)</f>
        <v>615</v>
      </c>
      <c r="S31" s="117">
        <f>VLOOKUP(CONCATENATE($G31,"-",$F31,"-Lone Person"),'Look-ups'!$Y$4:$AG$35,5,FALSE)</f>
        <v>107</v>
      </c>
      <c r="T31">
        <f>VLOOKUP(CONCATENATE($G31,"-",$F31,"-Lone Person"),'Look-ups'!$Y$4:$AG$35,6,FALSE)</f>
        <v>153.01000000000002</v>
      </c>
      <c r="U31">
        <f>VLOOKUP(CONCATENATE($G31,"-",$F31,"-Lone Person"),'Look-ups'!$Y$4:$AG$35,7,FALSE)</f>
        <v>182.97</v>
      </c>
      <c r="V31">
        <f>VLOOKUP(CONCATENATE($G31,"-",$F31,"-Lone Person"),'Look-ups'!$Y$4:$AG$35,8,FALSE)</f>
        <v>223.63000000000002</v>
      </c>
      <c r="W31">
        <f>VLOOKUP(CONCATENATE($G31,"-",$F31,"-Lone Person"),'Look-ups'!$Y$4:$AG$35,9,FALSE)</f>
        <v>212.93</v>
      </c>
      <c r="X31" s="117">
        <f>VLOOKUP(CONCATENATE($G31,"-",$F31,"-Couple Only"),'Look-ups'!$Y$4:$AG$35,5,FALSE)</f>
        <v>173.34</v>
      </c>
      <c r="Y31">
        <f>VLOOKUP(CONCATENATE($G31,"-",$F31,"-Couple Only"),'Look-ups'!$Y$4:$AG$35,6,FALSE)</f>
        <v>163.71</v>
      </c>
      <c r="Z31">
        <f>VLOOKUP(CONCATENATE($G31,"-",$F31,"-Couple Only"),'Look-ups'!$Y$4:$AG$35,7,FALSE)</f>
        <v>185.11</v>
      </c>
      <c r="AA31">
        <f>VLOOKUP(CONCATENATE($G31,"-",$F31,"-Couple Only"),'Look-ups'!$Y$4:$AG$35,8,FALSE)</f>
        <v>204.37</v>
      </c>
      <c r="AB31">
        <f>VLOOKUP(CONCATENATE($G31,"-",$F31,"-Couple Only"),'Look-ups'!$Y$4:$AG$35,9,FALSE)</f>
        <v>256.8</v>
      </c>
      <c r="AC31">
        <v>65</v>
      </c>
      <c r="AD31" t="s">
        <v>163</v>
      </c>
      <c r="AE31" s="287">
        <f>VLOOKUP($AD31,'Look-ups'!$A$122:$G$130,5,FALSE)</f>
        <v>9.1436865021770675E-2</v>
      </c>
      <c r="AF31" s="287">
        <f>VLOOKUP($AD31,'Look-ups'!$A$122:$G$130,6,FALSE)</f>
        <v>0.2815674891146589</v>
      </c>
      <c r="AG31" s="287">
        <f>VLOOKUP($AD31,'Look-ups'!$A$122:$G$130,7,FALSE)</f>
        <v>0.62699564586357037</v>
      </c>
      <c r="AH31" s="291">
        <f>VLOOKUP($AC31,'Look-ups'!$A$50:$AO$118,'Look-ups'!$B$133*4,FALSE)*0.277778</f>
        <v>118.60883174298655</v>
      </c>
      <c r="AI31" s="291">
        <f>VLOOKUP($AC31,'Look-ups'!$A$50:$AO$118,'Look-ups'!$B$133*4+1,FALSE)*0.277778</f>
        <v>10.00238225701346</v>
      </c>
      <c r="AJ31" s="291">
        <f>AE31*$AH31/'Look-ups'!$B$141</f>
        <v>14.176757828069766</v>
      </c>
      <c r="AK31" s="291">
        <f>AF31*$AH31/'Look-ups'!$B$140</f>
        <v>45.748480740679142</v>
      </c>
      <c r="AL31" s="291">
        <f>AG31*$AH31/'Look-ups'!$B$137</f>
        <v>14.165184964536646</v>
      </c>
      <c r="AM31" s="291">
        <f>AI31/'Look-ups'!$B$136</f>
        <v>2.1057646856870442</v>
      </c>
      <c r="AN31" s="290">
        <f>AJ31*VLOOKUP($AD31,'Look-ups'!$A$123:$M$130,10,FALSE)</f>
        <v>3.8474145550067109</v>
      </c>
      <c r="AO31" s="290">
        <f>AK31*VLOOKUP($AD31,'Look-ups'!$A$123:$M$130,9,FALSE)</f>
        <v>7.056337166403833</v>
      </c>
      <c r="AP31" s="290">
        <f>(AL31+AM31)*VLOOKUP($AD31,'Look-ups'!$A$123:$M$130,8,FALSE)</f>
        <v>5.2067038880715817</v>
      </c>
      <c r="AQ31" s="290">
        <f t="shared" si="0"/>
        <v>16.110455609482123</v>
      </c>
      <c r="AR31" s="292">
        <f>AJ31*VLOOKUP($AD31,'Look-ups'!$A$123:$M$130,11,FALSE)</f>
        <v>6.1245308685904588E-2</v>
      </c>
      <c r="AS31" s="292">
        <f>AK31*VLOOKUP($AD31,'Look-ups'!$A$123:$M$130,12,FALSE)</f>
        <v>8.4869467997522996</v>
      </c>
      <c r="AT31" s="292">
        <f>(AL31+AM31)*VLOOKUP($AD31,'Look-ups'!$A$123:$M$130,13,FALSE)</f>
        <v>4.1881424399675788</v>
      </c>
      <c r="AU31" s="292">
        <f t="shared" si="1"/>
        <v>12.736334548405782</v>
      </c>
      <c r="AW31" t="s">
        <v>328</v>
      </c>
    </row>
    <row r="32" spans="1:53" x14ac:dyDescent="0.25">
      <c r="A32">
        <v>1028</v>
      </c>
      <c r="B32" t="s">
        <v>328</v>
      </c>
      <c r="C32">
        <v>96.254800000000003</v>
      </c>
      <c r="D32">
        <v>50193</v>
      </c>
      <c r="E32">
        <v>521.45970902230329</v>
      </c>
      <c r="F32" t="s">
        <v>172</v>
      </c>
      <c r="G32" t="s">
        <v>163</v>
      </c>
      <c r="H32">
        <f>VLOOKUP(CONCATENATE($G32,"-",$F32,"-",$H$2),'Look-ups'!$O$3:$S$34,5,FALSE)*VLOOKUP(CONCATENATE($F32,"-",$H$2,"-",H$3),'Look-ups'!$I$3:$M$24,5,FALSE)</f>
        <v>316</v>
      </c>
      <c r="I32">
        <f>VLOOKUP(CONCATENATE($G32,"-",$F32,"-",$H$2),'Look-ups'!$O$3:$S$34,5,FALSE)*VLOOKUP(CONCATENATE($F32,"-",$H$2,"-",I$3),'Look-ups'!$I$3:$M$24,5,FALSE)</f>
        <v>474</v>
      </c>
      <c r="J32">
        <f>VLOOKUP(CONCATENATE($G32,"-",$F32,"-",$H$2),'Look-ups'!$O$3:$S$34,5,FALSE)*VLOOKUP(CONCATENATE($F32,"-",$H$2,"-",J$3),'Look-ups'!$I$3:$M$24,5,FALSE)</f>
        <v>553</v>
      </c>
      <c r="K32">
        <f>VLOOKUP(CONCATENATE($G32,"-",$F32,"-",$H$2),'Look-ups'!$O$3:$S$34,5,FALSE)*VLOOKUP(CONCATENATE($F32,"-",$H$2,"-",K$3),'Look-ups'!$I$3:$M$24,5,FALSE)</f>
        <v>711</v>
      </c>
      <c r="L32">
        <f>VLOOKUP(CONCATENATE($G32,"-",$F32,"-",$H$2),'Look-ups'!$O$3:$S$34,5,FALSE)*VLOOKUP(CONCATENATE($F32,"-",$H$2,"-",L$3),'Look-ups'!$I$3:$M$24,5,FALSE)</f>
        <v>790</v>
      </c>
      <c r="M32">
        <f>VLOOKUP(CONCATENATE($G32,"-",$F32,"-",$H$2),'Look-ups'!$O$3:$S$34,5,FALSE)*VLOOKUP(CONCATENATE($F32,"-",$H$2,"-",M$3),'Look-ups'!$I$3:$M$24,5,FALSE)</f>
        <v>869</v>
      </c>
      <c r="N32">
        <f>VLOOKUP(CONCATENATE($G32,"-",$F32,"-",$N$2),'Look-ups'!$O$3:$S$34,5,FALSE)*VLOOKUP(CONCATENATE($F32,"-",$N$2,"-",N$3),'Look-ups'!$I$3:$M$24,5,FALSE)</f>
        <v>315</v>
      </c>
      <c r="O32">
        <f>VLOOKUP(CONCATENATE($G32,"-",$F32,"-",$N$2),'Look-ups'!$O$3:$S$34,5,FALSE)*VLOOKUP(CONCATENATE($F32,"-",$N$2,"-",O$3),'Look-ups'!$I$3:$M$24,5,FALSE)</f>
        <v>315</v>
      </c>
      <c r="P32">
        <f>VLOOKUP(CONCATENATE($G32,"-",$F32,"-",$N$2),'Look-ups'!$O$3:$S$34,5,FALSE)*VLOOKUP(CONCATENATE($F32,"-",$N$2,"-",P$3),'Look-ups'!$I$3:$M$24,5,FALSE)</f>
        <v>420</v>
      </c>
      <c r="Q32">
        <f>VLOOKUP(CONCATENATE($G32,"-",$F32,"-",$N$2),'Look-ups'!$O$3:$S$34,5,FALSE)*VLOOKUP(CONCATENATE($F32,"-",$N$2,"-",Q$3),'Look-ups'!$I$3:$M$24,5,FALSE)</f>
        <v>540</v>
      </c>
      <c r="R32">
        <f>VLOOKUP(CONCATENATE($G32,"-",$F32,"-",$N$2),'Look-ups'!$O$3:$S$34,5,FALSE)*VLOOKUP(CONCATENATE($F32,"-",$N$2,"-",R$3),'Look-ups'!$I$3:$M$24,5,FALSE)</f>
        <v>615</v>
      </c>
      <c r="S32" s="117">
        <f>VLOOKUP(CONCATENATE($G32,"-",$F32,"-Lone Person"),'Look-ups'!$Y$4:$AG$35,5,FALSE)</f>
        <v>107</v>
      </c>
      <c r="T32">
        <f>VLOOKUP(CONCATENATE($G32,"-",$F32,"-Lone Person"),'Look-ups'!$Y$4:$AG$35,6,FALSE)</f>
        <v>153.01000000000002</v>
      </c>
      <c r="U32">
        <f>VLOOKUP(CONCATENATE($G32,"-",$F32,"-Lone Person"),'Look-ups'!$Y$4:$AG$35,7,FALSE)</f>
        <v>182.97</v>
      </c>
      <c r="V32">
        <f>VLOOKUP(CONCATENATE($G32,"-",$F32,"-Lone Person"),'Look-ups'!$Y$4:$AG$35,8,FALSE)</f>
        <v>223.63000000000002</v>
      </c>
      <c r="W32">
        <f>VLOOKUP(CONCATENATE($G32,"-",$F32,"-Lone Person"),'Look-ups'!$Y$4:$AG$35,9,FALSE)</f>
        <v>212.93</v>
      </c>
      <c r="X32" s="117">
        <f>VLOOKUP(CONCATENATE($G32,"-",$F32,"-Couple Only"),'Look-ups'!$Y$4:$AG$35,5,FALSE)</f>
        <v>173.34</v>
      </c>
      <c r="Y32">
        <f>VLOOKUP(CONCATENATE($G32,"-",$F32,"-Couple Only"),'Look-ups'!$Y$4:$AG$35,6,FALSE)</f>
        <v>163.71</v>
      </c>
      <c r="Z32">
        <f>VLOOKUP(CONCATENATE($G32,"-",$F32,"-Couple Only"),'Look-ups'!$Y$4:$AG$35,7,FALSE)</f>
        <v>185.11</v>
      </c>
      <c r="AA32">
        <f>VLOOKUP(CONCATENATE($G32,"-",$F32,"-Couple Only"),'Look-ups'!$Y$4:$AG$35,8,FALSE)</f>
        <v>204.37</v>
      </c>
      <c r="AB32">
        <f>VLOOKUP(CONCATENATE($G32,"-",$F32,"-Couple Only"),'Look-ups'!$Y$4:$AG$35,9,FALSE)</f>
        <v>256.8</v>
      </c>
      <c r="AC32">
        <v>15</v>
      </c>
      <c r="AD32" t="s">
        <v>163</v>
      </c>
      <c r="AE32" s="287">
        <f>VLOOKUP($AD32,'Look-ups'!$A$122:$G$130,5,FALSE)</f>
        <v>9.1436865021770675E-2</v>
      </c>
      <c r="AF32" s="287">
        <f>VLOOKUP($AD32,'Look-ups'!$A$122:$G$130,6,FALSE)</f>
        <v>0.2815674891146589</v>
      </c>
      <c r="AG32" s="287">
        <f>VLOOKUP($AD32,'Look-ups'!$A$122:$G$130,7,FALSE)</f>
        <v>0.62699564586357037</v>
      </c>
      <c r="AH32" s="291">
        <f>VLOOKUP($AC32,'Look-ups'!$A$50:$AO$118,'Look-ups'!$B$133*4,FALSE)*0.277778</f>
        <v>18.727289044025561</v>
      </c>
      <c r="AI32" s="291">
        <f>VLOOKUP($AC32,'Look-ups'!$A$50:$AO$118,'Look-ups'!$B$133*4+1,FALSE)*0.277778</f>
        <v>17.939406955974444</v>
      </c>
      <c r="AJ32" s="291">
        <f>AE32*$AH32/'Look-ups'!$B$141</f>
        <v>2.2383850987480396</v>
      </c>
      <c r="AK32" s="291">
        <f>AF32*$AH32/'Look-ups'!$B$140</f>
        <v>7.223281854864025</v>
      </c>
      <c r="AL32" s="291">
        <f>AG32*$AH32/'Look-ups'!$B$137</f>
        <v>2.2365578456062041</v>
      </c>
      <c r="AM32" s="291">
        <f>AI32/'Look-ups'!$B$136</f>
        <v>3.7767172538893568</v>
      </c>
      <c r="AN32" s="290">
        <f>AJ32*VLOOKUP($AD32,'Look-ups'!$A$123:$M$130,10,FALSE)</f>
        <v>0.60747284485467623</v>
      </c>
      <c r="AO32" s="290">
        <f>AK32*VLOOKUP($AD32,'Look-ups'!$A$123:$M$130,9,FALSE)</f>
        <v>1.114133439857937</v>
      </c>
      <c r="AP32" s="290">
        <f>(AL32+AM32)*VLOOKUP($AD32,'Look-ups'!$A$123:$M$130,8,FALSE)</f>
        <v>1.9242480318385793</v>
      </c>
      <c r="AQ32" s="290">
        <f t="shared" si="0"/>
        <v>3.6458543165511923</v>
      </c>
      <c r="AR32" s="292">
        <f>AJ32*VLOOKUP($AD32,'Look-ups'!$A$123:$M$130,11,FALSE)</f>
        <v>9.6700943892344283E-3</v>
      </c>
      <c r="AS32" s="292">
        <f>AK32*VLOOKUP($AD32,'Look-ups'!$A$123:$M$130,12,FALSE)</f>
        <v>1.340014090726656</v>
      </c>
      <c r="AT32" s="292">
        <f>(AL32+AM32)*VLOOKUP($AD32,'Look-ups'!$A$123:$M$130,13,FALSE)</f>
        <v>1.5478170106101574</v>
      </c>
      <c r="AU32" s="292">
        <f t="shared" si="1"/>
        <v>2.8975011957260479</v>
      </c>
      <c r="AW32" t="s">
        <v>329</v>
      </c>
    </row>
    <row r="33" spans="1:49" x14ac:dyDescent="0.25">
      <c r="A33">
        <v>1029</v>
      </c>
      <c r="B33" t="s">
        <v>329</v>
      </c>
      <c r="C33">
        <v>127.2317</v>
      </c>
      <c r="D33">
        <v>17018</v>
      </c>
      <c r="E33">
        <v>133.75597433658436</v>
      </c>
      <c r="F33" t="s">
        <v>172</v>
      </c>
      <c r="G33" t="s">
        <v>163</v>
      </c>
      <c r="H33">
        <f>VLOOKUP(CONCATENATE($G33,"-",$F33,"-",$H$2),'Look-ups'!$O$3:$S$34,5,FALSE)*VLOOKUP(CONCATENATE($F33,"-",$H$2,"-",H$3),'Look-ups'!$I$3:$M$24,5,FALSE)</f>
        <v>316</v>
      </c>
      <c r="I33">
        <f>VLOOKUP(CONCATENATE($G33,"-",$F33,"-",$H$2),'Look-ups'!$O$3:$S$34,5,FALSE)*VLOOKUP(CONCATENATE($F33,"-",$H$2,"-",I$3),'Look-ups'!$I$3:$M$24,5,FALSE)</f>
        <v>474</v>
      </c>
      <c r="J33">
        <f>VLOOKUP(CONCATENATE($G33,"-",$F33,"-",$H$2),'Look-ups'!$O$3:$S$34,5,FALSE)*VLOOKUP(CONCATENATE($F33,"-",$H$2,"-",J$3),'Look-ups'!$I$3:$M$24,5,FALSE)</f>
        <v>553</v>
      </c>
      <c r="K33">
        <f>VLOOKUP(CONCATENATE($G33,"-",$F33,"-",$H$2),'Look-ups'!$O$3:$S$34,5,FALSE)*VLOOKUP(CONCATENATE($F33,"-",$H$2,"-",K$3),'Look-ups'!$I$3:$M$24,5,FALSE)</f>
        <v>711</v>
      </c>
      <c r="L33">
        <f>VLOOKUP(CONCATENATE($G33,"-",$F33,"-",$H$2),'Look-ups'!$O$3:$S$34,5,FALSE)*VLOOKUP(CONCATENATE($F33,"-",$H$2,"-",L$3),'Look-ups'!$I$3:$M$24,5,FALSE)</f>
        <v>790</v>
      </c>
      <c r="M33">
        <f>VLOOKUP(CONCATENATE($G33,"-",$F33,"-",$H$2),'Look-ups'!$O$3:$S$34,5,FALSE)*VLOOKUP(CONCATENATE($F33,"-",$H$2,"-",M$3),'Look-ups'!$I$3:$M$24,5,FALSE)</f>
        <v>869</v>
      </c>
      <c r="N33">
        <f>VLOOKUP(CONCATENATE($G33,"-",$F33,"-",$N$2),'Look-ups'!$O$3:$S$34,5,FALSE)*VLOOKUP(CONCATENATE($F33,"-",$N$2,"-",N$3),'Look-ups'!$I$3:$M$24,5,FALSE)</f>
        <v>315</v>
      </c>
      <c r="O33">
        <f>VLOOKUP(CONCATENATE($G33,"-",$F33,"-",$N$2),'Look-ups'!$O$3:$S$34,5,FALSE)*VLOOKUP(CONCATENATE($F33,"-",$N$2,"-",O$3),'Look-ups'!$I$3:$M$24,5,FALSE)</f>
        <v>315</v>
      </c>
      <c r="P33">
        <f>VLOOKUP(CONCATENATE($G33,"-",$F33,"-",$N$2),'Look-ups'!$O$3:$S$34,5,FALSE)*VLOOKUP(CONCATENATE($F33,"-",$N$2,"-",P$3),'Look-ups'!$I$3:$M$24,5,FALSE)</f>
        <v>420</v>
      </c>
      <c r="Q33">
        <f>VLOOKUP(CONCATENATE($G33,"-",$F33,"-",$N$2),'Look-ups'!$O$3:$S$34,5,FALSE)*VLOOKUP(CONCATENATE($F33,"-",$N$2,"-",Q$3),'Look-ups'!$I$3:$M$24,5,FALSE)</f>
        <v>540</v>
      </c>
      <c r="R33">
        <f>VLOOKUP(CONCATENATE($G33,"-",$F33,"-",$N$2),'Look-ups'!$O$3:$S$34,5,FALSE)*VLOOKUP(CONCATENATE($F33,"-",$N$2,"-",R$3),'Look-ups'!$I$3:$M$24,5,FALSE)</f>
        <v>615</v>
      </c>
      <c r="S33" s="117">
        <f>VLOOKUP(CONCATENATE($G33,"-",$F33,"-Lone Person"),'Look-ups'!$Y$4:$AG$35,5,FALSE)</f>
        <v>107</v>
      </c>
      <c r="T33">
        <f>VLOOKUP(CONCATENATE($G33,"-",$F33,"-Lone Person"),'Look-ups'!$Y$4:$AG$35,6,FALSE)</f>
        <v>153.01000000000002</v>
      </c>
      <c r="U33">
        <f>VLOOKUP(CONCATENATE($G33,"-",$F33,"-Lone Person"),'Look-ups'!$Y$4:$AG$35,7,FALSE)</f>
        <v>182.97</v>
      </c>
      <c r="V33">
        <f>VLOOKUP(CONCATENATE($G33,"-",$F33,"-Lone Person"),'Look-ups'!$Y$4:$AG$35,8,FALSE)</f>
        <v>223.63000000000002</v>
      </c>
      <c r="W33">
        <f>VLOOKUP(CONCATENATE($G33,"-",$F33,"-Lone Person"),'Look-ups'!$Y$4:$AG$35,9,FALSE)</f>
        <v>212.93</v>
      </c>
      <c r="X33" s="117">
        <f>VLOOKUP(CONCATENATE($G33,"-",$F33,"-Couple Only"),'Look-ups'!$Y$4:$AG$35,5,FALSE)</f>
        <v>173.34</v>
      </c>
      <c r="Y33">
        <f>VLOOKUP(CONCATENATE($G33,"-",$F33,"-Couple Only"),'Look-ups'!$Y$4:$AG$35,6,FALSE)</f>
        <v>163.71</v>
      </c>
      <c r="Z33">
        <f>VLOOKUP(CONCATENATE($G33,"-",$F33,"-Couple Only"),'Look-ups'!$Y$4:$AG$35,7,FALSE)</f>
        <v>185.11</v>
      </c>
      <c r="AA33">
        <f>VLOOKUP(CONCATENATE($G33,"-",$F33,"-Couple Only"),'Look-ups'!$Y$4:$AG$35,8,FALSE)</f>
        <v>204.37</v>
      </c>
      <c r="AB33">
        <f>VLOOKUP(CONCATENATE($G33,"-",$F33,"-Couple Only"),'Look-ups'!$Y$4:$AG$35,9,FALSE)</f>
        <v>256.8</v>
      </c>
      <c r="AC33">
        <v>28</v>
      </c>
      <c r="AD33" t="s">
        <v>163</v>
      </c>
      <c r="AE33" s="287">
        <f>VLOOKUP($AD33,'Look-ups'!$A$122:$G$130,5,FALSE)</f>
        <v>9.1436865021770675E-2</v>
      </c>
      <c r="AF33" s="287">
        <f>VLOOKUP($AD33,'Look-ups'!$A$122:$G$130,6,FALSE)</f>
        <v>0.2815674891146589</v>
      </c>
      <c r="AG33" s="287">
        <f>VLOOKUP($AD33,'Look-ups'!$A$122:$G$130,7,FALSE)</f>
        <v>0.62699564586357037</v>
      </c>
      <c r="AH33" s="291">
        <f>VLOOKUP($AC33,'Look-ups'!$A$50:$AO$118,'Look-ups'!$B$133*4,FALSE)*0.277778</f>
        <v>33.959888203026054</v>
      </c>
      <c r="AI33" s="291">
        <f>VLOOKUP($AC33,'Look-ups'!$A$50:$AO$118,'Look-ups'!$B$133*4+1,FALSE)*0.277778</f>
        <v>34.373499796973952</v>
      </c>
      <c r="AJ33" s="291">
        <f>AE33*$AH33/'Look-ups'!$B$141</f>
        <v>4.0590662925157073</v>
      </c>
      <c r="AK33" s="291">
        <f>AF33*$AH33/'Look-ups'!$B$140</f>
        <v>13.098630756082976</v>
      </c>
      <c r="AL33" s="291">
        <f>AG33*$AH33/'Look-ups'!$B$137</f>
        <v>4.0557527690116117</v>
      </c>
      <c r="AM33" s="291">
        <f>AI33/'Look-ups'!$B$136</f>
        <v>7.236526273047148</v>
      </c>
      <c r="AN33" s="290">
        <f>AJ33*VLOOKUP($AD33,'Look-ups'!$A$123:$M$130,10,FALSE)</f>
        <v>1.1015854910521792</v>
      </c>
      <c r="AO33" s="290">
        <f>AK33*VLOOKUP($AD33,'Look-ups'!$A$123:$M$130,9,FALSE)</f>
        <v>2.0203590050797504</v>
      </c>
      <c r="AP33" s="290">
        <f>(AL33+AM33)*VLOOKUP($AD33,'Look-ups'!$A$123:$M$130,8,FALSE)</f>
        <v>3.6135292934588028</v>
      </c>
      <c r="AQ33" s="290">
        <f t="shared" si="0"/>
        <v>6.7354737895907322</v>
      </c>
      <c r="AR33" s="292">
        <f>AJ33*VLOOKUP($AD33,'Look-ups'!$A$123:$M$130,11,FALSE)</f>
        <v>1.7535657382074552E-2</v>
      </c>
      <c r="AS33" s="292">
        <f>AK33*VLOOKUP($AD33,'Look-ups'!$A$123:$M$130,12,FALSE)</f>
        <v>2.4299688334267766</v>
      </c>
      <c r="AT33" s="292">
        <f>(AL33+AM33)*VLOOKUP($AD33,'Look-ups'!$A$123:$M$130,13,FALSE)</f>
        <v>2.9066326254259249</v>
      </c>
      <c r="AU33" s="292">
        <f t="shared" si="1"/>
        <v>5.3541371162347762</v>
      </c>
      <c r="AW33" t="s">
        <v>330</v>
      </c>
    </row>
    <row r="34" spans="1:49" x14ac:dyDescent="0.25">
      <c r="A34">
        <v>1030</v>
      </c>
      <c r="B34" t="s">
        <v>330</v>
      </c>
      <c r="C34">
        <v>107.871099999999</v>
      </c>
      <c r="D34">
        <v>20105</v>
      </c>
      <c r="E34">
        <v>186.37985521608832</v>
      </c>
      <c r="F34" t="s">
        <v>172</v>
      </c>
      <c r="G34" t="s">
        <v>163</v>
      </c>
      <c r="H34">
        <f>VLOOKUP(CONCATENATE($G34,"-",$F34,"-",$H$2),'Look-ups'!$O$3:$S$34,5,FALSE)*VLOOKUP(CONCATENATE($F34,"-",$H$2,"-",H$3),'Look-ups'!$I$3:$M$24,5,FALSE)</f>
        <v>316</v>
      </c>
      <c r="I34">
        <f>VLOOKUP(CONCATENATE($G34,"-",$F34,"-",$H$2),'Look-ups'!$O$3:$S$34,5,FALSE)*VLOOKUP(CONCATENATE($F34,"-",$H$2,"-",I$3),'Look-ups'!$I$3:$M$24,5,FALSE)</f>
        <v>474</v>
      </c>
      <c r="J34">
        <f>VLOOKUP(CONCATENATE($G34,"-",$F34,"-",$H$2),'Look-ups'!$O$3:$S$34,5,FALSE)*VLOOKUP(CONCATENATE($F34,"-",$H$2,"-",J$3),'Look-ups'!$I$3:$M$24,5,FALSE)</f>
        <v>553</v>
      </c>
      <c r="K34">
        <f>VLOOKUP(CONCATENATE($G34,"-",$F34,"-",$H$2),'Look-ups'!$O$3:$S$34,5,FALSE)*VLOOKUP(CONCATENATE($F34,"-",$H$2,"-",K$3),'Look-ups'!$I$3:$M$24,5,FALSE)</f>
        <v>711</v>
      </c>
      <c r="L34">
        <f>VLOOKUP(CONCATENATE($G34,"-",$F34,"-",$H$2),'Look-ups'!$O$3:$S$34,5,FALSE)*VLOOKUP(CONCATENATE($F34,"-",$H$2,"-",L$3),'Look-ups'!$I$3:$M$24,5,FALSE)</f>
        <v>790</v>
      </c>
      <c r="M34">
        <f>VLOOKUP(CONCATENATE($G34,"-",$F34,"-",$H$2),'Look-ups'!$O$3:$S$34,5,FALSE)*VLOOKUP(CONCATENATE($F34,"-",$H$2,"-",M$3),'Look-ups'!$I$3:$M$24,5,FALSE)</f>
        <v>869</v>
      </c>
      <c r="N34">
        <f>VLOOKUP(CONCATENATE($G34,"-",$F34,"-",$N$2),'Look-ups'!$O$3:$S$34,5,FALSE)*VLOOKUP(CONCATENATE($F34,"-",$N$2,"-",N$3),'Look-ups'!$I$3:$M$24,5,FALSE)</f>
        <v>315</v>
      </c>
      <c r="O34">
        <f>VLOOKUP(CONCATENATE($G34,"-",$F34,"-",$N$2),'Look-ups'!$O$3:$S$34,5,FALSE)*VLOOKUP(CONCATENATE($F34,"-",$N$2,"-",O$3),'Look-ups'!$I$3:$M$24,5,FALSE)</f>
        <v>315</v>
      </c>
      <c r="P34">
        <f>VLOOKUP(CONCATENATE($G34,"-",$F34,"-",$N$2),'Look-ups'!$O$3:$S$34,5,FALSE)*VLOOKUP(CONCATENATE($F34,"-",$N$2,"-",P$3),'Look-ups'!$I$3:$M$24,5,FALSE)</f>
        <v>420</v>
      </c>
      <c r="Q34">
        <f>VLOOKUP(CONCATENATE($G34,"-",$F34,"-",$N$2),'Look-ups'!$O$3:$S$34,5,FALSE)*VLOOKUP(CONCATENATE($F34,"-",$N$2,"-",Q$3),'Look-ups'!$I$3:$M$24,5,FALSE)</f>
        <v>540</v>
      </c>
      <c r="R34">
        <f>VLOOKUP(CONCATENATE($G34,"-",$F34,"-",$N$2),'Look-ups'!$O$3:$S$34,5,FALSE)*VLOOKUP(CONCATENATE($F34,"-",$N$2,"-",R$3),'Look-ups'!$I$3:$M$24,5,FALSE)</f>
        <v>615</v>
      </c>
      <c r="S34" s="117">
        <f>VLOOKUP(CONCATENATE($G34,"-",$F34,"-Lone Person"),'Look-ups'!$Y$4:$AG$35,5,FALSE)</f>
        <v>107</v>
      </c>
      <c r="T34">
        <f>VLOOKUP(CONCATENATE($G34,"-",$F34,"-Lone Person"),'Look-ups'!$Y$4:$AG$35,6,FALSE)</f>
        <v>153.01000000000002</v>
      </c>
      <c r="U34">
        <f>VLOOKUP(CONCATENATE($G34,"-",$F34,"-Lone Person"),'Look-ups'!$Y$4:$AG$35,7,FALSE)</f>
        <v>182.97</v>
      </c>
      <c r="V34">
        <f>VLOOKUP(CONCATENATE($G34,"-",$F34,"-Lone Person"),'Look-ups'!$Y$4:$AG$35,8,FALSE)</f>
        <v>223.63000000000002</v>
      </c>
      <c r="W34">
        <f>VLOOKUP(CONCATENATE($G34,"-",$F34,"-Lone Person"),'Look-ups'!$Y$4:$AG$35,9,FALSE)</f>
        <v>212.93</v>
      </c>
      <c r="X34" s="117">
        <f>VLOOKUP(CONCATENATE($G34,"-",$F34,"-Couple Only"),'Look-ups'!$Y$4:$AG$35,5,FALSE)</f>
        <v>173.34</v>
      </c>
      <c r="Y34">
        <f>VLOOKUP(CONCATENATE($G34,"-",$F34,"-Couple Only"),'Look-ups'!$Y$4:$AG$35,6,FALSE)</f>
        <v>163.71</v>
      </c>
      <c r="Z34">
        <f>VLOOKUP(CONCATENATE($G34,"-",$F34,"-Couple Only"),'Look-ups'!$Y$4:$AG$35,7,FALSE)</f>
        <v>185.11</v>
      </c>
      <c r="AA34">
        <f>VLOOKUP(CONCATENATE($G34,"-",$F34,"-Couple Only"),'Look-ups'!$Y$4:$AG$35,8,FALSE)</f>
        <v>204.37</v>
      </c>
      <c r="AB34">
        <f>VLOOKUP(CONCATENATE($G34,"-",$F34,"-Couple Only"),'Look-ups'!$Y$4:$AG$35,9,FALSE)</f>
        <v>256.8</v>
      </c>
      <c r="AC34">
        <v>18</v>
      </c>
      <c r="AD34" t="s">
        <v>163</v>
      </c>
      <c r="AE34" s="287">
        <f>VLOOKUP($AD34,'Look-ups'!$A$122:$G$130,5,FALSE)</f>
        <v>9.1436865021770675E-2</v>
      </c>
      <c r="AF34" s="287">
        <f>VLOOKUP($AD34,'Look-ups'!$A$122:$G$130,6,FALSE)</f>
        <v>0.2815674891146589</v>
      </c>
      <c r="AG34" s="287">
        <f>VLOOKUP($AD34,'Look-ups'!$A$122:$G$130,7,FALSE)</f>
        <v>0.62699564586357037</v>
      </c>
      <c r="AH34" s="291">
        <f>VLOOKUP($AC34,'Look-ups'!$A$50:$AO$118,'Look-ups'!$B$133*4,FALSE)*0.277778</f>
        <v>33.381647555082509</v>
      </c>
      <c r="AI34" s="291">
        <f>VLOOKUP($AC34,'Look-ups'!$A$50:$AO$118,'Look-ups'!$B$133*4+1,FALSE)*0.277778</f>
        <v>20.785062444917497</v>
      </c>
      <c r="AJ34" s="291">
        <f>AE34*$AH34/'Look-ups'!$B$141</f>
        <v>3.9899518976449686</v>
      </c>
      <c r="AK34" s="291">
        <f>AF34*$AH34/'Look-ups'!$B$140</f>
        <v>12.875598198075444</v>
      </c>
      <c r="AL34" s="291">
        <f>AG34*$AH34/'Look-ups'!$B$137</f>
        <v>3.9866947940550537</v>
      </c>
      <c r="AM34" s="291">
        <f>AI34/'Look-ups'!$B$136</f>
        <v>4.3758026199826308</v>
      </c>
      <c r="AN34" s="290">
        <f>AJ34*VLOOKUP($AD34,'Look-ups'!$A$123:$M$130,10,FALSE)</f>
        <v>1.0828286122219817</v>
      </c>
      <c r="AO34" s="290">
        <f>AK34*VLOOKUP($AD34,'Look-ups'!$A$123:$M$130,9,FALSE)</f>
        <v>1.9859580172675528</v>
      </c>
      <c r="AP34" s="290">
        <f>(AL34+AM34)*VLOOKUP($AD34,'Look-ups'!$A$123:$M$130,8,FALSE)</f>
        <v>2.6759991724920589</v>
      </c>
      <c r="AQ34" s="290">
        <f t="shared" si="0"/>
        <v>5.7447858019815934</v>
      </c>
      <c r="AR34" s="292">
        <f>AJ34*VLOOKUP($AD34,'Look-ups'!$A$123:$M$130,11,FALSE)</f>
        <v>1.723707483592167E-2</v>
      </c>
      <c r="AS34" s="292">
        <f>AK34*VLOOKUP($AD34,'Look-ups'!$A$123:$M$130,12,FALSE)</f>
        <v>2.3885933511424118</v>
      </c>
      <c r="AT34" s="292">
        <f>(AL34+AM34)*VLOOKUP($AD34,'Look-ups'!$A$123:$M$130,13,FALSE)</f>
        <v>2.1525068343733</v>
      </c>
      <c r="AU34" s="292">
        <f t="shared" si="1"/>
        <v>4.5583372603516334</v>
      </c>
      <c r="AW34" t="s">
        <v>331</v>
      </c>
    </row>
    <row r="35" spans="1:49" x14ac:dyDescent="0.25">
      <c r="A35">
        <v>1031</v>
      </c>
      <c r="B35" t="s">
        <v>331</v>
      </c>
      <c r="C35">
        <v>4196.8371999999899</v>
      </c>
      <c r="D35">
        <v>4830047</v>
      </c>
      <c r="E35">
        <v>1150.877856305699</v>
      </c>
      <c r="F35" t="s">
        <v>171</v>
      </c>
      <c r="G35" t="s">
        <v>163</v>
      </c>
      <c r="H35">
        <f>VLOOKUP(CONCATENATE($G35,"-",$F35,"-",$H$2),'Look-ups'!$O$3:$S$34,5,FALSE)*VLOOKUP(CONCATENATE($F35,"-",$H$2,"-",H$3),'Look-ups'!$I$3:$M$24,5,FALSE)</f>
        <v>276.38888888888886</v>
      </c>
      <c r="I35">
        <f>VLOOKUP(CONCATENATE($G35,"-",$F35,"-",$H$2),'Look-ups'!$O$3:$S$34,5,FALSE)*VLOOKUP(CONCATENATE($F35,"-",$H$2,"-",I$3),'Look-ups'!$I$3:$M$24,5,FALSE)</f>
        <v>398</v>
      </c>
      <c r="J35">
        <f>VLOOKUP(CONCATENATE($G35,"-",$F35,"-",$H$2),'Look-ups'!$O$3:$S$34,5,FALSE)*VLOOKUP(CONCATENATE($F35,"-",$H$2,"-",J$3),'Look-ups'!$I$3:$M$24,5,FALSE)</f>
        <v>486.44444444444446</v>
      </c>
      <c r="K35">
        <f>VLOOKUP(CONCATENATE($G35,"-",$F35,"-",$H$2),'Look-ups'!$O$3:$S$34,5,FALSE)*VLOOKUP(CONCATENATE($F35,"-",$H$2,"-",K$3),'Look-ups'!$I$3:$M$24,5,FALSE)</f>
        <v>619.11111111111109</v>
      </c>
      <c r="L35">
        <f>VLOOKUP(CONCATENATE($G35,"-",$F35,"-",$H$2),'Look-ups'!$O$3:$S$34,5,FALSE)*VLOOKUP(CONCATENATE($F35,"-",$H$2,"-",L$3),'Look-ups'!$I$3:$M$24,5,FALSE)</f>
        <v>746.25</v>
      </c>
      <c r="M35">
        <f>VLOOKUP(CONCATENATE($G35,"-",$F35,"-",$H$2),'Look-ups'!$O$3:$S$34,5,FALSE)*VLOOKUP(CONCATENATE($F35,"-",$H$2,"-",M$3),'Look-ups'!$I$3:$M$24,5,FALSE)</f>
        <v>829.16666666666674</v>
      </c>
      <c r="N35">
        <f>VLOOKUP(CONCATENATE($G35,"-",$F35,"-",$N$2),'Look-ups'!$O$3:$S$34,5,FALSE)*VLOOKUP(CONCATENATE($F35,"-",$N$2,"-",N$3),'Look-ups'!$I$3:$M$24,5,FALSE)</f>
        <v>280.10666666666668</v>
      </c>
      <c r="O35">
        <f>VLOOKUP(CONCATENATE($G35,"-",$F35,"-",$N$2),'Look-ups'!$O$3:$S$34,5,FALSE)*VLOOKUP(CONCATENATE($F35,"-",$N$2,"-",O$3),'Look-ups'!$I$3:$M$24,5,FALSE)</f>
        <v>377.06666666666666</v>
      </c>
      <c r="P35">
        <f>VLOOKUP(CONCATENATE($G35,"-",$F35,"-",$N$2),'Look-ups'!$O$3:$S$34,5,FALSE)*VLOOKUP(CONCATENATE($F35,"-",$N$2,"-",P$3),'Look-ups'!$I$3:$M$24,5,FALSE)</f>
        <v>404</v>
      </c>
      <c r="Q35">
        <f>VLOOKUP(CONCATENATE($G35,"-",$F35,"-",$N$2),'Look-ups'!$O$3:$S$34,5,FALSE)*VLOOKUP(CONCATENATE($F35,"-",$N$2,"-",Q$3),'Look-ups'!$I$3:$M$24,5,FALSE)</f>
        <v>527.89333333333332</v>
      </c>
      <c r="R35">
        <f>VLOOKUP(CONCATENATE($G35,"-",$F35,"-",$N$2),'Look-ups'!$O$3:$S$34,5,FALSE)*VLOOKUP(CONCATENATE($F35,"-",$N$2,"-",R$3),'Look-ups'!$I$3:$M$24,5,FALSE)</f>
        <v>592.5333333333333</v>
      </c>
      <c r="S35" s="117">
        <f>VLOOKUP(CONCATENATE($G35,"-",$F35,"-Lone Person"),'Look-ups'!$Y$4:$AG$35,5,FALSE)</f>
        <v>95.23</v>
      </c>
      <c r="T35">
        <f>VLOOKUP(CONCATENATE($G35,"-",$F35,"-Lone Person"),'Look-ups'!$Y$4:$AG$35,6,FALSE)</f>
        <v>135.89000000000001</v>
      </c>
      <c r="U35">
        <f>VLOOKUP(CONCATENATE($G35,"-",$F35,"-Lone Person"),'Look-ups'!$Y$4:$AG$35,7,FALSE)</f>
        <v>162.64000000000001</v>
      </c>
      <c r="V35">
        <f>VLOOKUP(CONCATENATE($G35,"-",$F35,"-Lone Person"),'Look-ups'!$Y$4:$AG$35,8,FALSE)</f>
        <v>199.02</v>
      </c>
      <c r="W35">
        <f>VLOOKUP(CONCATENATE($G35,"-",$F35,"-Lone Person"),'Look-ups'!$Y$4:$AG$35,9,FALSE)</f>
        <v>189.39000000000001</v>
      </c>
      <c r="X35" s="117">
        <f>VLOOKUP(CONCATENATE($G35,"-",$F35,"-Couple Only"),'Look-ups'!$Y$4:$AG$35,5,FALSE)</f>
        <v>154.08000000000001</v>
      </c>
      <c r="Y35">
        <f>VLOOKUP(CONCATENATE($G35,"-",$F35,"-Couple Only"),'Look-ups'!$Y$4:$AG$35,6,FALSE)</f>
        <v>145.52000000000001</v>
      </c>
      <c r="Z35">
        <f>VLOOKUP(CONCATENATE($G35,"-",$F35,"-Couple Only"),'Look-ups'!$Y$4:$AG$35,7,FALSE)</f>
        <v>164.78</v>
      </c>
      <c r="AA35">
        <f>VLOOKUP(CONCATENATE($G35,"-",$F35,"-Couple Only"),'Look-ups'!$Y$4:$AG$35,8,FALSE)</f>
        <v>181.9</v>
      </c>
      <c r="AB35">
        <f>VLOOKUP(CONCATENATE($G35,"-",$F35,"-Couple Only"),'Look-ups'!$Y$4:$AG$35,9,FALSE)</f>
        <v>228.98000000000002</v>
      </c>
      <c r="AC35">
        <v>17</v>
      </c>
      <c r="AD35" t="s">
        <v>163</v>
      </c>
      <c r="AE35" s="287">
        <f>VLOOKUP($AD35,'Look-ups'!$A$122:$G$130,5,FALSE)</f>
        <v>9.1436865021770675E-2</v>
      </c>
      <c r="AF35" s="287">
        <f>VLOOKUP($AD35,'Look-ups'!$A$122:$G$130,6,FALSE)</f>
        <v>0.2815674891146589</v>
      </c>
      <c r="AG35" s="287">
        <f>VLOOKUP($AD35,'Look-ups'!$A$122:$G$130,7,FALSE)</f>
        <v>0.62699564586357037</v>
      </c>
      <c r="AH35" s="291">
        <f>VLOOKUP($AC35,'Look-ups'!$A$50:$AO$118,'Look-ups'!$B$133*4,FALSE)*0.277778</f>
        <v>11.411866822792344</v>
      </c>
      <c r="AI35" s="291">
        <f>VLOOKUP($AC35,'Look-ups'!$A$50:$AO$118,'Look-ups'!$B$133*4+1,FALSE)*0.277778</f>
        <v>11.921485177207657</v>
      </c>
      <c r="AJ35" s="291">
        <f>AE35*$AH35/'Look-ups'!$B$141</f>
        <v>1.3640069625125315</v>
      </c>
      <c r="AK35" s="291">
        <f>AF35*$AH35/'Look-ups'!$B$140</f>
        <v>4.4016584758966033</v>
      </c>
      <c r="AL35" s="291">
        <f>AG35*$AH35/'Look-ups'!$B$137</f>
        <v>1.3628934874410927</v>
      </c>
      <c r="AM35" s="291">
        <f>AI35/'Look-ups'!$B$136</f>
        <v>2.5097863530963487</v>
      </c>
      <c r="AN35" s="290">
        <f>AJ35*VLOOKUP($AD35,'Look-ups'!$A$123:$M$130,10,FALSE)</f>
        <v>0.37017633399298416</v>
      </c>
      <c r="AO35" s="290">
        <f>AK35*VLOOKUP($AD35,'Look-ups'!$A$123:$M$130,9,FALSE)</f>
        <v>0.67892060663924392</v>
      </c>
      <c r="AP35" s="290">
        <f>(AL35+AM35)*VLOOKUP($AD35,'Look-ups'!$A$123:$M$130,8,FALSE)</f>
        <v>1.2392575489719813</v>
      </c>
      <c r="AQ35" s="290">
        <f t="shared" si="0"/>
        <v>2.2883544896042096</v>
      </c>
      <c r="AR35" s="292">
        <f>AJ35*VLOOKUP($AD35,'Look-ups'!$A$123:$M$130,11,FALSE)</f>
        <v>5.8926750729561784E-3</v>
      </c>
      <c r="AS35" s="292">
        <f>AK35*VLOOKUP($AD35,'Look-ups'!$A$123:$M$130,12,FALSE)</f>
        <v>0.81656572438691</v>
      </c>
      <c r="AT35" s="292">
        <f>(AL35+AM35)*VLOOKUP($AD35,'Look-ups'!$A$123:$M$130,13,FALSE)</f>
        <v>0.99682779095433738</v>
      </c>
      <c r="AU35" s="292">
        <f t="shared" si="1"/>
        <v>1.8192861904142035</v>
      </c>
      <c r="AW35" t="s">
        <v>332</v>
      </c>
    </row>
    <row r="36" spans="1:49" x14ac:dyDescent="0.25">
      <c r="A36">
        <v>1032</v>
      </c>
      <c r="B36" t="s">
        <v>332</v>
      </c>
      <c r="C36">
        <v>240.7449</v>
      </c>
      <c r="D36">
        <v>43874</v>
      </c>
      <c r="E36">
        <v>182.24269756077908</v>
      </c>
      <c r="F36" t="s">
        <v>172</v>
      </c>
      <c r="G36" t="s">
        <v>163</v>
      </c>
      <c r="H36">
        <f>VLOOKUP(CONCATENATE($G36,"-",$F36,"-",$H$2),'Look-ups'!$O$3:$S$34,5,FALSE)*VLOOKUP(CONCATENATE($F36,"-",$H$2,"-",H$3),'Look-ups'!$I$3:$M$24,5,FALSE)</f>
        <v>316</v>
      </c>
      <c r="I36">
        <f>VLOOKUP(CONCATENATE($G36,"-",$F36,"-",$H$2),'Look-ups'!$O$3:$S$34,5,FALSE)*VLOOKUP(CONCATENATE($F36,"-",$H$2,"-",I$3),'Look-ups'!$I$3:$M$24,5,FALSE)</f>
        <v>474</v>
      </c>
      <c r="J36">
        <f>VLOOKUP(CONCATENATE($G36,"-",$F36,"-",$H$2),'Look-ups'!$O$3:$S$34,5,FALSE)*VLOOKUP(CONCATENATE($F36,"-",$H$2,"-",J$3),'Look-ups'!$I$3:$M$24,5,FALSE)</f>
        <v>553</v>
      </c>
      <c r="K36">
        <f>VLOOKUP(CONCATENATE($G36,"-",$F36,"-",$H$2),'Look-ups'!$O$3:$S$34,5,FALSE)*VLOOKUP(CONCATENATE($F36,"-",$H$2,"-",K$3),'Look-ups'!$I$3:$M$24,5,FALSE)</f>
        <v>711</v>
      </c>
      <c r="L36">
        <f>VLOOKUP(CONCATENATE($G36,"-",$F36,"-",$H$2),'Look-ups'!$O$3:$S$34,5,FALSE)*VLOOKUP(CONCATENATE($F36,"-",$H$2,"-",L$3),'Look-ups'!$I$3:$M$24,5,FALSE)</f>
        <v>790</v>
      </c>
      <c r="M36">
        <f>VLOOKUP(CONCATENATE($G36,"-",$F36,"-",$H$2),'Look-ups'!$O$3:$S$34,5,FALSE)*VLOOKUP(CONCATENATE($F36,"-",$H$2,"-",M$3),'Look-ups'!$I$3:$M$24,5,FALSE)</f>
        <v>869</v>
      </c>
      <c r="N36">
        <f>VLOOKUP(CONCATENATE($G36,"-",$F36,"-",$N$2),'Look-ups'!$O$3:$S$34,5,FALSE)*VLOOKUP(CONCATENATE($F36,"-",$N$2,"-",N$3),'Look-ups'!$I$3:$M$24,5,FALSE)</f>
        <v>315</v>
      </c>
      <c r="O36">
        <f>VLOOKUP(CONCATENATE($G36,"-",$F36,"-",$N$2),'Look-ups'!$O$3:$S$34,5,FALSE)*VLOOKUP(CONCATENATE($F36,"-",$N$2,"-",O$3),'Look-ups'!$I$3:$M$24,5,FALSE)</f>
        <v>315</v>
      </c>
      <c r="P36">
        <f>VLOOKUP(CONCATENATE($G36,"-",$F36,"-",$N$2),'Look-ups'!$O$3:$S$34,5,FALSE)*VLOOKUP(CONCATENATE($F36,"-",$N$2,"-",P$3),'Look-ups'!$I$3:$M$24,5,FALSE)</f>
        <v>420</v>
      </c>
      <c r="Q36">
        <f>VLOOKUP(CONCATENATE($G36,"-",$F36,"-",$N$2),'Look-ups'!$O$3:$S$34,5,FALSE)*VLOOKUP(CONCATENATE($F36,"-",$N$2,"-",Q$3),'Look-ups'!$I$3:$M$24,5,FALSE)</f>
        <v>540</v>
      </c>
      <c r="R36">
        <f>VLOOKUP(CONCATENATE($G36,"-",$F36,"-",$N$2),'Look-ups'!$O$3:$S$34,5,FALSE)*VLOOKUP(CONCATENATE($F36,"-",$N$2,"-",R$3),'Look-ups'!$I$3:$M$24,5,FALSE)</f>
        <v>615</v>
      </c>
      <c r="S36" s="117">
        <f>VLOOKUP(CONCATENATE($G36,"-",$F36,"-Lone Person"),'Look-ups'!$Y$4:$AG$35,5,FALSE)</f>
        <v>107</v>
      </c>
      <c r="T36">
        <f>VLOOKUP(CONCATENATE($G36,"-",$F36,"-Lone Person"),'Look-ups'!$Y$4:$AG$35,6,FALSE)</f>
        <v>153.01000000000002</v>
      </c>
      <c r="U36">
        <f>VLOOKUP(CONCATENATE($G36,"-",$F36,"-Lone Person"),'Look-ups'!$Y$4:$AG$35,7,FALSE)</f>
        <v>182.97</v>
      </c>
      <c r="V36">
        <f>VLOOKUP(CONCATENATE($G36,"-",$F36,"-Lone Person"),'Look-ups'!$Y$4:$AG$35,8,FALSE)</f>
        <v>223.63000000000002</v>
      </c>
      <c r="W36">
        <f>VLOOKUP(CONCATENATE($G36,"-",$F36,"-Lone Person"),'Look-ups'!$Y$4:$AG$35,9,FALSE)</f>
        <v>212.93</v>
      </c>
      <c r="X36" s="117">
        <f>VLOOKUP(CONCATENATE($G36,"-",$F36,"-Couple Only"),'Look-ups'!$Y$4:$AG$35,5,FALSE)</f>
        <v>173.34</v>
      </c>
      <c r="Y36">
        <f>VLOOKUP(CONCATENATE($G36,"-",$F36,"-Couple Only"),'Look-ups'!$Y$4:$AG$35,6,FALSE)</f>
        <v>163.71</v>
      </c>
      <c r="Z36">
        <f>VLOOKUP(CONCATENATE($G36,"-",$F36,"-Couple Only"),'Look-ups'!$Y$4:$AG$35,7,FALSE)</f>
        <v>185.11</v>
      </c>
      <c r="AA36">
        <f>VLOOKUP(CONCATENATE($G36,"-",$F36,"-Couple Only"),'Look-ups'!$Y$4:$AG$35,8,FALSE)</f>
        <v>204.37</v>
      </c>
      <c r="AB36">
        <f>VLOOKUP(CONCATENATE($G36,"-",$F36,"-Couple Only"),'Look-ups'!$Y$4:$AG$35,9,FALSE)</f>
        <v>256.8</v>
      </c>
      <c r="AC36">
        <v>14</v>
      </c>
      <c r="AD36" t="s">
        <v>163</v>
      </c>
      <c r="AE36" s="287">
        <f>VLOOKUP($AD36,'Look-ups'!$A$122:$G$130,5,FALSE)</f>
        <v>9.1436865021770675E-2</v>
      </c>
      <c r="AF36" s="287">
        <f>VLOOKUP($AD36,'Look-ups'!$A$122:$G$130,6,FALSE)</f>
        <v>0.2815674891146589</v>
      </c>
      <c r="AG36" s="287">
        <f>VLOOKUP($AD36,'Look-ups'!$A$122:$G$130,7,FALSE)</f>
        <v>0.62699564586357037</v>
      </c>
      <c r="AH36" s="291">
        <f>VLOOKUP($AC36,'Look-ups'!$A$50:$AO$118,'Look-ups'!$B$133*4,FALSE)*0.277778</f>
        <v>102.2152329540214</v>
      </c>
      <c r="AI36" s="291">
        <f>VLOOKUP($AC36,'Look-ups'!$A$50:$AO$118,'Look-ups'!$B$133*4+1,FALSE)*0.277778</f>
        <v>8.6181890459786015</v>
      </c>
      <c r="AJ36" s="291">
        <f>AE36*$AH36/'Look-ups'!$B$141</f>
        <v>12.217307789262355</v>
      </c>
      <c r="AK36" s="291">
        <f>AF36*$AH36/'Look-ups'!$B$140</f>
        <v>39.425323961827047</v>
      </c>
      <c r="AL36" s="291">
        <f>AG36*$AH36/'Look-ups'!$B$137</f>
        <v>12.207334476781325</v>
      </c>
      <c r="AM36" s="291">
        <f>AI36/'Look-ups'!$B$136</f>
        <v>1.8143555886270739</v>
      </c>
      <c r="AN36" s="290">
        <f>AJ36*VLOOKUP($AD36,'Look-ups'!$A$123:$M$130,10,FALSE)</f>
        <v>3.3156415861414774</v>
      </c>
      <c r="AO36" s="290">
        <f>AK36*VLOOKUP($AD36,'Look-ups'!$A$123:$M$130,9,FALSE)</f>
        <v>6.0810408185201279</v>
      </c>
      <c r="AP36" s="290">
        <f>(AL36+AM36)*VLOOKUP($AD36,'Look-ups'!$A$123:$M$130,8,FALSE)</f>
        <v>4.4869408209306876</v>
      </c>
      <c r="AQ36" s="290">
        <f t="shared" si="0"/>
        <v>13.883623225592293</v>
      </c>
      <c r="AR36" s="292">
        <f>AJ36*VLOOKUP($AD36,'Look-ups'!$A$123:$M$130,11,FALSE)</f>
        <v>5.2780247496543274E-2</v>
      </c>
      <c r="AS36" s="292">
        <f>AK36*VLOOKUP($AD36,'Look-ups'!$A$123:$M$130,12,FALSE)</f>
        <v>7.3139177872086538</v>
      </c>
      <c r="AT36" s="292">
        <f>(AL36+AM36)*VLOOKUP($AD36,'Look-ups'!$A$123:$M$130,13,FALSE)</f>
        <v>3.6091830228361221</v>
      </c>
      <c r="AU36" s="292">
        <f t="shared" si="1"/>
        <v>10.975881057541319</v>
      </c>
      <c r="AW36" t="s">
        <v>333</v>
      </c>
    </row>
    <row r="37" spans="1:49" x14ac:dyDescent="0.25">
      <c r="A37">
        <v>1033</v>
      </c>
      <c r="B37" t="s">
        <v>333</v>
      </c>
      <c r="C37">
        <v>186.64949999999899</v>
      </c>
      <c r="D37">
        <v>26519</v>
      </c>
      <c r="E37">
        <v>142.0791376349797</v>
      </c>
      <c r="F37" t="s">
        <v>172</v>
      </c>
      <c r="G37" t="s">
        <v>163</v>
      </c>
      <c r="H37">
        <f>VLOOKUP(CONCATENATE($G37,"-",$F37,"-",$H$2),'Look-ups'!$O$3:$S$34,5,FALSE)*VLOOKUP(CONCATENATE($F37,"-",$H$2,"-",H$3),'Look-ups'!$I$3:$M$24,5,FALSE)</f>
        <v>316</v>
      </c>
      <c r="I37">
        <f>VLOOKUP(CONCATENATE($G37,"-",$F37,"-",$H$2),'Look-ups'!$O$3:$S$34,5,FALSE)*VLOOKUP(CONCATENATE($F37,"-",$H$2,"-",I$3),'Look-ups'!$I$3:$M$24,5,FALSE)</f>
        <v>474</v>
      </c>
      <c r="J37">
        <f>VLOOKUP(CONCATENATE($G37,"-",$F37,"-",$H$2),'Look-ups'!$O$3:$S$34,5,FALSE)*VLOOKUP(CONCATENATE($F37,"-",$H$2,"-",J$3),'Look-ups'!$I$3:$M$24,5,FALSE)</f>
        <v>553</v>
      </c>
      <c r="K37">
        <f>VLOOKUP(CONCATENATE($G37,"-",$F37,"-",$H$2),'Look-ups'!$O$3:$S$34,5,FALSE)*VLOOKUP(CONCATENATE($F37,"-",$H$2,"-",K$3),'Look-ups'!$I$3:$M$24,5,FALSE)</f>
        <v>711</v>
      </c>
      <c r="L37">
        <f>VLOOKUP(CONCATENATE($G37,"-",$F37,"-",$H$2),'Look-ups'!$O$3:$S$34,5,FALSE)*VLOOKUP(CONCATENATE($F37,"-",$H$2,"-",L$3),'Look-ups'!$I$3:$M$24,5,FALSE)</f>
        <v>790</v>
      </c>
      <c r="M37">
        <f>VLOOKUP(CONCATENATE($G37,"-",$F37,"-",$H$2),'Look-ups'!$O$3:$S$34,5,FALSE)*VLOOKUP(CONCATENATE($F37,"-",$H$2,"-",M$3),'Look-ups'!$I$3:$M$24,5,FALSE)</f>
        <v>869</v>
      </c>
      <c r="N37">
        <f>VLOOKUP(CONCATENATE($G37,"-",$F37,"-",$N$2),'Look-ups'!$O$3:$S$34,5,FALSE)*VLOOKUP(CONCATENATE($F37,"-",$N$2,"-",N$3),'Look-ups'!$I$3:$M$24,5,FALSE)</f>
        <v>315</v>
      </c>
      <c r="O37">
        <f>VLOOKUP(CONCATENATE($G37,"-",$F37,"-",$N$2),'Look-ups'!$O$3:$S$34,5,FALSE)*VLOOKUP(CONCATENATE($F37,"-",$N$2,"-",O$3),'Look-ups'!$I$3:$M$24,5,FALSE)</f>
        <v>315</v>
      </c>
      <c r="P37">
        <f>VLOOKUP(CONCATENATE($G37,"-",$F37,"-",$N$2),'Look-ups'!$O$3:$S$34,5,FALSE)*VLOOKUP(CONCATENATE($F37,"-",$N$2,"-",P$3),'Look-ups'!$I$3:$M$24,5,FALSE)</f>
        <v>420</v>
      </c>
      <c r="Q37">
        <f>VLOOKUP(CONCATENATE($G37,"-",$F37,"-",$N$2),'Look-ups'!$O$3:$S$34,5,FALSE)*VLOOKUP(CONCATENATE($F37,"-",$N$2,"-",Q$3),'Look-ups'!$I$3:$M$24,5,FALSE)</f>
        <v>540</v>
      </c>
      <c r="R37">
        <f>VLOOKUP(CONCATENATE($G37,"-",$F37,"-",$N$2),'Look-ups'!$O$3:$S$34,5,FALSE)*VLOOKUP(CONCATENATE($F37,"-",$N$2,"-",R$3),'Look-ups'!$I$3:$M$24,5,FALSE)</f>
        <v>615</v>
      </c>
      <c r="S37" s="117">
        <f>VLOOKUP(CONCATENATE($G37,"-",$F37,"-Lone Person"),'Look-ups'!$Y$4:$AG$35,5,FALSE)</f>
        <v>107</v>
      </c>
      <c r="T37">
        <f>VLOOKUP(CONCATENATE($G37,"-",$F37,"-Lone Person"),'Look-ups'!$Y$4:$AG$35,6,FALSE)</f>
        <v>153.01000000000002</v>
      </c>
      <c r="U37">
        <f>VLOOKUP(CONCATENATE($G37,"-",$F37,"-Lone Person"),'Look-ups'!$Y$4:$AG$35,7,FALSE)</f>
        <v>182.97</v>
      </c>
      <c r="V37">
        <f>VLOOKUP(CONCATENATE($G37,"-",$F37,"-Lone Person"),'Look-ups'!$Y$4:$AG$35,8,FALSE)</f>
        <v>223.63000000000002</v>
      </c>
      <c r="W37">
        <f>VLOOKUP(CONCATENATE($G37,"-",$F37,"-Lone Person"),'Look-ups'!$Y$4:$AG$35,9,FALSE)</f>
        <v>212.93</v>
      </c>
      <c r="X37" s="117">
        <f>VLOOKUP(CONCATENATE($G37,"-",$F37,"-Couple Only"),'Look-ups'!$Y$4:$AG$35,5,FALSE)</f>
        <v>173.34</v>
      </c>
      <c r="Y37">
        <f>VLOOKUP(CONCATENATE($G37,"-",$F37,"-Couple Only"),'Look-ups'!$Y$4:$AG$35,6,FALSE)</f>
        <v>163.71</v>
      </c>
      <c r="Z37">
        <f>VLOOKUP(CONCATENATE($G37,"-",$F37,"-Couple Only"),'Look-ups'!$Y$4:$AG$35,7,FALSE)</f>
        <v>185.11</v>
      </c>
      <c r="AA37">
        <f>VLOOKUP(CONCATENATE($G37,"-",$F37,"-Couple Only"),'Look-ups'!$Y$4:$AG$35,8,FALSE)</f>
        <v>204.37</v>
      </c>
      <c r="AB37">
        <f>VLOOKUP(CONCATENATE($G37,"-",$F37,"-Couple Only"),'Look-ups'!$Y$4:$AG$35,9,FALSE)</f>
        <v>256.8</v>
      </c>
      <c r="AC37">
        <v>15</v>
      </c>
      <c r="AD37" t="s">
        <v>163</v>
      </c>
      <c r="AE37" s="287">
        <f>VLOOKUP($AD37,'Look-ups'!$A$122:$G$130,5,FALSE)</f>
        <v>9.1436865021770675E-2</v>
      </c>
      <c r="AF37" s="287">
        <f>VLOOKUP($AD37,'Look-ups'!$A$122:$G$130,6,FALSE)</f>
        <v>0.2815674891146589</v>
      </c>
      <c r="AG37" s="287">
        <f>VLOOKUP($AD37,'Look-ups'!$A$122:$G$130,7,FALSE)</f>
        <v>0.62699564586357037</v>
      </c>
      <c r="AH37" s="291">
        <f>VLOOKUP($AC37,'Look-ups'!$A$50:$AO$118,'Look-ups'!$B$133*4,FALSE)*0.277778</f>
        <v>18.727289044025561</v>
      </c>
      <c r="AI37" s="291">
        <f>VLOOKUP($AC37,'Look-ups'!$A$50:$AO$118,'Look-ups'!$B$133*4+1,FALSE)*0.277778</f>
        <v>17.939406955974444</v>
      </c>
      <c r="AJ37" s="291">
        <f>AE37*$AH37/'Look-ups'!$B$141</f>
        <v>2.2383850987480396</v>
      </c>
      <c r="AK37" s="291">
        <f>AF37*$AH37/'Look-ups'!$B$140</f>
        <v>7.223281854864025</v>
      </c>
      <c r="AL37" s="291">
        <f>AG37*$AH37/'Look-ups'!$B$137</f>
        <v>2.2365578456062041</v>
      </c>
      <c r="AM37" s="291">
        <f>AI37/'Look-ups'!$B$136</f>
        <v>3.7767172538893568</v>
      </c>
      <c r="AN37" s="290">
        <f>AJ37*VLOOKUP($AD37,'Look-ups'!$A$123:$M$130,10,FALSE)</f>
        <v>0.60747284485467623</v>
      </c>
      <c r="AO37" s="290">
        <f>AK37*VLOOKUP($AD37,'Look-ups'!$A$123:$M$130,9,FALSE)</f>
        <v>1.114133439857937</v>
      </c>
      <c r="AP37" s="290">
        <f>(AL37+AM37)*VLOOKUP($AD37,'Look-ups'!$A$123:$M$130,8,FALSE)</f>
        <v>1.9242480318385793</v>
      </c>
      <c r="AQ37" s="290">
        <f t="shared" si="0"/>
        <v>3.6458543165511923</v>
      </c>
      <c r="AR37" s="292">
        <f>AJ37*VLOOKUP($AD37,'Look-ups'!$A$123:$M$130,11,FALSE)</f>
        <v>9.6700943892344283E-3</v>
      </c>
      <c r="AS37" s="292">
        <f>AK37*VLOOKUP($AD37,'Look-ups'!$A$123:$M$130,12,FALSE)</f>
        <v>1.340014090726656</v>
      </c>
      <c r="AT37" s="292">
        <f>(AL37+AM37)*VLOOKUP($AD37,'Look-ups'!$A$123:$M$130,13,FALSE)</f>
        <v>1.5478170106101574</v>
      </c>
      <c r="AU37" s="292">
        <f t="shared" si="1"/>
        <v>2.8975011957260479</v>
      </c>
      <c r="AW37" t="s">
        <v>334</v>
      </c>
    </row>
    <row r="38" spans="1:49" x14ac:dyDescent="0.25">
      <c r="A38">
        <v>1034</v>
      </c>
      <c r="B38" t="s">
        <v>334</v>
      </c>
      <c r="C38">
        <v>46.776499999999899</v>
      </c>
      <c r="D38">
        <v>17026</v>
      </c>
      <c r="E38">
        <v>363.98618964651132</v>
      </c>
      <c r="F38" t="s">
        <v>172</v>
      </c>
      <c r="G38" t="s">
        <v>163</v>
      </c>
      <c r="H38">
        <f>VLOOKUP(CONCATENATE($G38,"-",$F38,"-",$H$2),'Look-ups'!$O$3:$S$34,5,FALSE)*VLOOKUP(CONCATENATE($F38,"-",$H$2,"-",H$3),'Look-ups'!$I$3:$M$24,5,FALSE)</f>
        <v>316</v>
      </c>
      <c r="I38">
        <f>VLOOKUP(CONCATENATE($G38,"-",$F38,"-",$H$2),'Look-ups'!$O$3:$S$34,5,FALSE)*VLOOKUP(CONCATENATE($F38,"-",$H$2,"-",I$3),'Look-ups'!$I$3:$M$24,5,FALSE)</f>
        <v>474</v>
      </c>
      <c r="J38">
        <f>VLOOKUP(CONCATENATE($G38,"-",$F38,"-",$H$2),'Look-ups'!$O$3:$S$34,5,FALSE)*VLOOKUP(CONCATENATE($F38,"-",$H$2,"-",J$3),'Look-ups'!$I$3:$M$24,5,FALSE)</f>
        <v>553</v>
      </c>
      <c r="K38">
        <f>VLOOKUP(CONCATENATE($G38,"-",$F38,"-",$H$2),'Look-ups'!$O$3:$S$34,5,FALSE)*VLOOKUP(CONCATENATE($F38,"-",$H$2,"-",K$3),'Look-ups'!$I$3:$M$24,5,FALSE)</f>
        <v>711</v>
      </c>
      <c r="L38">
        <f>VLOOKUP(CONCATENATE($G38,"-",$F38,"-",$H$2),'Look-ups'!$O$3:$S$34,5,FALSE)*VLOOKUP(CONCATENATE($F38,"-",$H$2,"-",L$3),'Look-ups'!$I$3:$M$24,5,FALSE)</f>
        <v>790</v>
      </c>
      <c r="M38">
        <f>VLOOKUP(CONCATENATE($G38,"-",$F38,"-",$H$2),'Look-ups'!$O$3:$S$34,5,FALSE)*VLOOKUP(CONCATENATE($F38,"-",$H$2,"-",M$3),'Look-ups'!$I$3:$M$24,5,FALSE)</f>
        <v>869</v>
      </c>
      <c r="N38">
        <f>VLOOKUP(CONCATENATE($G38,"-",$F38,"-",$N$2),'Look-ups'!$O$3:$S$34,5,FALSE)*VLOOKUP(CONCATENATE($F38,"-",$N$2,"-",N$3),'Look-ups'!$I$3:$M$24,5,FALSE)</f>
        <v>315</v>
      </c>
      <c r="O38">
        <f>VLOOKUP(CONCATENATE($G38,"-",$F38,"-",$N$2),'Look-ups'!$O$3:$S$34,5,FALSE)*VLOOKUP(CONCATENATE($F38,"-",$N$2,"-",O$3),'Look-ups'!$I$3:$M$24,5,FALSE)</f>
        <v>315</v>
      </c>
      <c r="P38">
        <f>VLOOKUP(CONCATENATE($G38,"-",$F38,"-",$N$2),'Look-ups'!$O$3:$S$34,5,FALSE)*VLOOKUP(CONCATENATE($F38,"-",$N$2,"-",P$3),'Look-ups'!$I$3:$M$24,5,FALSE)</f>
        <v>420</v>
      </c>
      <c r="Q38">
        <f>VLOOKUP(CONCATENATE($G38,"-",$F38,"-",$N$2),'Look-ups'!$O$3:$S$34,5,FALSE)*VLOOKUP(CONCATENATE($F38,"-",$N$2,"-",Q$3),'Look-ups'!$I$3:$M$24,5,FALSE)</f>
        <v>540</v>
      </c>
      <c r="R38">
        <f>VLOOKUP(CONCATENATE($G38,"-",$F38,"-",$N$2),'Look-ups'!$O$3:$S$34,5,FALSE)*VLOOKUP(CONCATENATE($F38,"-",$N$2,"-",R$3),'Look-ups'!$I$3:$M$24,5,FALSE)</f>
        <v>615</v>
      </c>
      <c r="S38" s="117">
        <f>VLOOKUP(CONCATENATE($G38,"-",$F38,"-Lone Person"),'Look-ups'!$Y$4:$AG$35,5,FALSE)</f>
        <v>107</v>
      </c>
      <c r="T38">
        <f>VLOOKUP(CONCATENATE($G38,"-",$F38,"-Lone Person"),'Look-ups'!$Y$4:$AG$35,6,FALSE)</f>
        <v>153.01000000000002</v>
      </c>
      <c r="U38">
        <f>VLOOKUP(CONCATENATE($G38,"-",$F38,"-Lone Person"),'Look-ups'!$Y$4:$AG$35,7,FALSE)</f>
        <v>182.97</v>
      </c>
      <c r="V38">
        <f>VLOOKUP(CONCATENATE($G38,"-",$F38,"-Lone Person"),'Look-ups'!$Y$4:$AG$35,8,FALSE)</f>
        <v>223.63000000000002</v>
      </c>
      <c r="W38">
        <f>VLOOKUP(CONCATENATE($G38,"-",$F38,"-Lone Person"),'Look-ups'!$Y$4:$AG$35,9,FALSE)</f>
        <v>212.93</v>
      </c>
      <c r="X38" s="117">
        <f>VLOOKUP(CONCATENATE($G38,"-",$F38,"-Couple Only"),'Look-ups'!$Y$4:$AG$35,5,FALSE)</f>
        <v>173.34</v>
      </c>
      <c r="Y38">
        <f>VLOOKUP(CONCATENATE($G38,"-",$F38,"-Couple Only"),'Look-ups'!$Y$4:$AG$35,6,FALSE)</f>
        <v>163.71</v>
      </c>
      <c r="Z38">
        <f>VLOOKUP(CONCATENATE($G38,"-",$F38,"-Couple Only"),'Look-ups'!$Y$4:$AG$35,7,FALSE)</f>
        <v>185.11</v>
      </c>
      <c r="AA38">
        <f>VLOOKUP(CONCATENATE($G38,"-",$F38,"-Couple Only"),'Look-ups'!$Y$4:$AG$35,8,FALSE)</f>
        <v>204.37</v>
      </c>
      <c r="AB38">
        <f>VLOOKUP(CONCATENATE($G38,"-",$F38,"-Couple Only"),'Look-ups'!$Y$4:$AG$35,9,FALSE)</f>
        <v>256.8</v>
      </c>
      <c r="AC38">
        <v>18</v>
      </c>
      <c r="AD38" t="s">
        <v>163</v>
      </c>
      <c r="AE38" s="287">
        <f>VLOOKUP($AD38,'Look-ups'!$A$122:$G$130,5,FALSE)</f>
        <v>9.1436865021770675E-2</v>
      </c>
      <c r="AF38" s="287">
        <f>VLOOKUP($AD38,'Look-ups'!$A$122:$G$130,6,FALSE)</f>
        <v>0.2815674891146589</v>
      </c>
      <c r="AG38" s="287">
        <f>VLOOKUP($AD38,'Look-ups'!$A$122:$G$130,7,FALSE)</f>
        <v>0.62699564586357037</v>
      </c>
      <c r="AH38" s="291">
        <f>VLOOKUP($AC38,'Look-ups'!$A$50:$AO$118,'Look-ups'!$B$133*4,FALSE)*0.277778</f>
        <v>33.381647555082509</v>
      </c>
      <c r="AI38" s="291">
        <f>VLOOKUP($AC38,'Look-ups'!$A$50:$AO$118,'Look-ups'!$B$133*4+1,FALSE)*0.277778</f>
        <v>20.785062444917497</v>
      </c>
      <c r="AJ38" s="291">
        <f>AE38*$AH38/'Look-ups'!$B$141</f>
        <v>3.9899518976449686</v>
      </c>
      <c r="AK38" s="291">
        <f>AF38*$AH38/'Look-ups'!$B$140</f>
        <v>12.875598198075444</v>
      </c>
      <c r="AL38" s="291">
        <f>AG38*$AH38/'Look-ups'!$B$137</f>
        <v>3.9866947940550537</v>
      </c>
      <c r="AM38" s="291">
        <f>AI38/'Look-ups'!$B$136</f>
        <v>4.3758026199826308</v>
      </c>
      <c r="AN38" s="290">
        <f>AJ38*VLOOKUP($AD38,'Look-ups'!$A$123:$M$130,10,FALSE)</f>
        <v>1.0828286122219817</v>
      </c>
      <c r="AO38" s="290">
        <f>AK38*VLOOKUP($AD38,'Look-ups'!$A$123:$M$130,9,FALSE)</f>
        <v>1.9859580172675528</v>
      </c>
      <c r="AP38" s="290">
        <f>(AL38+AM38)*VLOOKUP($AD38,'Look-ups'!$A$123:$M$130,8,FALSE)</f>
        <v>2.6759991724920589</v>
      </c>
      <c r="AQ38" s="290">
        <f t="shared" si="0"/>
        <v>5.7447858019815934</v>
      </c>
      <c r="AR38" s="292">
        <f>AJ38*VLOOKUP($AD38,'Look-ups'!$A$123:$M$130,11,FALSE)</f>
        <v>1.723707483592167E-2</v>
      </c>
      <c r="AS38" s="292">
        <f>AK38*VLOOKUP($AD38,'Look-ups'!$A$123:$M$130,12,FALSE)</f>
        <v>2.3885933511424118</v>
      </c>
      <c r="AT38" s="292">
        <f>(AL38+AM38)*VLOOKUP($AD38,'Look-ups'!$A$123:$M$130,13,FALSE)</f>
        <v>2.1525068343733</v>
      </c>
      <c r="AU38" s="292">
        <f t="shared" si="1"/>
        <v>4.5583372603516334</v>
      </c>
      <c r="AW38" t="s">
        <v>335</v>
      </c>
    </row>
    <row r="39" spans="1:49" x14ac:dyDescent="0.25">
      <c r="A39">
        <v>1035</v>
      </c>
      <c r="B39" t="s">
        <v>335</v>
      </c>
      <c r="C39">
        <v>192.09540000000001</v>
      </c>
      <c r="D39">
        <v>57003</v>
      </c>
      <c r="E39">
        <v>296.74318073207371</v>
      </c>
      <c r="F39" t="s">
        <v>172</v>
      </c>
      <c r="G39" t="s">
        <v>163</v>
      </c>
      <c r="H39">
        <f>VLOOKUP(CONCATENATE($G39,"-",$F39,"-",$H$2),'Look-ups'!$O$3:$S$34,5,FALSE)*VLOOKUP(CONCATENATE($F39,"-",$H$2,"-",H$3),'Look-ups'!$I$3:$M$24,5,FALSE)</f>
        <v>316</v>
      </c>
      <c r="I39">
        <f>VLOOKUP(CONCATENATE($G39,"-",$F39,"-",$H$2),'Look-ups'!$O$3:$S$34,5,FALSE)*VLOOKUP(CONCATENATE($F39,"-",$H$2,"-",I$3),'Look-ups'!$I$3:$M$24,5,FALSE)</f>
        <v>474</v>
      </c>
      <c r="J39">
        <f>VLOOKUP(CONCATENATE($G39,"-",$F39,"-",$H$2),'Look-ups'!$O$3:$S$34,5,FALSE)*VLOOKUP(CONCATENATE($F39,"-",$H$2,"-",J$3),'Look-ups'!$I$3:$M$24,5,FALSE)</f>
        <v>553</v>
      </c>
      <c r="K39">
        <f>VLOOKUP(CONCATENATE($G39,"-",$F39,"-",$H$2),'Look-ups'!$O$3:$S$34,5,FALSE)*VLOOKUP(CONCATENATE($F39,"-",$H$2,"-",K$3),'Look-ups'!$I$3:$M$24,5,FALSE)</f>
        <v>711</v>
      </c>
      <c r="L39">
        <f>VLOOKUP(CONCATENATE($G39,"-",$F39,"-",$H$2),'Look-ups'!$O$3:$S$34,5,FALSE)*VLOOKUP(CONCATENATE($F39,"-",$H$2,"-",L$3),'Look-ups'!$I$3:$M$24,5,FALSE)</f>
        <v>790</v>
      </c>
      <c r="M39">
        <f>VLOOKUP(CONCATENATE($G39,"-",$F39,"-",$H$2),'Look-ups'!$O$3:$S$34,5,FALSE)*VLOOKUP(CONCATENATE($F39,"-",$H$2,"-",M$3),'Look-ups'!$I$3:$M$24,5,FALSE)</f>
        <v>869</v>
      </c>
      <c r="N39">
        <f>VLOOKUP(CONCATENATE($G39,"-",$F39,"-",$N$2),'Look-ups'!$O$3:$S$34,5,FALSE)*VLOOKUP(CONCATENATE($F39,"-",$N$2,"-",N$3),'Look-ups'!$I$3:$M$24,5,FALSE)</f>
        <v>315</v>
      </c>
      <c r="O39">
        <f>VLOOKUP(CONCATENATE($G39,"-",$F39,"-",$N$2),'Look-ups'!$O$3:$S$34,5,FALSE)*VLOOKUP(CONCATENATE($F39,"-",$N$2,"-",O$3),'Look-ups'!$I$3:$M$24,5,FALSE)</f>
        <v>315</v>
      </c>
      <c r="P39">
        <f>VLOOKUP(CONCATENATE($G39,"-",$F39,"-",$N$2),'Look-ups'!$O$3:$S$34,5,FALSE)*VLOOKUP(CONCATENATE($F39,"-",$N$2,"-",P$3),'Look-ups'!$I$3:$M$24,5,FALSE)</f>
        <v>420</v>
      </c>
      <c r="Q39">
        <f>VLOOKUP(CONCATENATE($G39,"-",$F39,"-",$N$2),'Look-ups'!$O$3:$S$34,5,FALSE)*VLOOKUP(CONCATENATE($F39,"-",$N$2,"-",Q$3),'Look-ups'!$I$3:$M$24,5,FALSE)</f>
        <v>540</v>
      </c>
      <c r="R39">
        <f>VLOOKUP(CONCATENATE($G39,"-",$F39,"-",$N$2),'Look-ups'!$O$3:$S$34,5,FALSE)*VLOOKUP(CONCATENATE($F39,"-",$N$2,"-",R$3),'Look-ups'!$I$3:$M$24,5,FALSE)</f>
        <v>615</v>
      </c>
      <c r="S39" s="117">
        <f>VLOOKUP(CONCATENATE($G39,"-",$F39,"-Lone Person"),'Look-ups'!$Y$4:$AG$35,5,FALSE)</f>
        <v>107</v>
      </c>
      <c r="T39">
        <f>VLOOKUP(CONCATENATE($G39,"-",$F39,"-Lone Person"),'Look-ups'!$Y$4:$AG$35,6,FALSE)</f>
        <v>153.01000000000002</v>
      </c>
      <c r="U39">
        <f>VLOOKUP(CONCATENATE($G39,"-",$F39,"-Lone Person"),'Look-ups'!$Y$4:$AG$35,7,FALSE)</f>
        <v>182.97</v>
      </c>
      <c r="V39">
        <f>VLOOKUP(CONCATENATE($G39,"-",$F39,"-Lone Person"),'Look-ups'!$Y$4:$AG$35,8,FALSE)</f>
        <v>223.63000000000002</v>
      </c>
      <c r="W39">
        <f>VLOOKUP(CONCATENATE($G39,"-",$F39,"-Lone Person"),'Look-ups'!$Y$4:$AG$35,9,FALSE)</f>
        <v>212.93</v>
      </c>
      <c r="X39" s="117">
        <f>VLOOKUP(CONCATENATE($G39,"-",$F39,"-Couple Only"),'Look-ups'!$Y$4:$AG$35,5,FALSE)</f>
        <v>173.34</v>
      </c>
      <c r="Y39">
        <f>VLOOKUP(CONCATENATE($G39,"-",$F39,"-Couple Only"),'Look-ups'!$Y$4:$AG$35,6,FALSE)</f>
        <v>163.71</v>
      </c>
      <c r="Z39">
        <f>VLOOKUP(CONCATENATE($G39,"-",$F39,"-Couple Only"),'Look-ups'!$Y$4:$AG$35,7,FALSE)</f>
        <v>185.11</v>
      </c>
      <c r="AA39">
        <f>VLOOKUP(CONCATENATE($G39,"-",$F39,"-Couple Only"),'Look-ups'!$Y$4:$AG$35,8,FALSE)</f>
        <v>204.37</v>
      </c>
      <c r="AB39">
        <f>VLOOKUP(CONCATENATE($G39,"-",$F39,"-Couple Only"),'Look-ups'!$Y$4:$AG$35,9,FALSE)</f>
        <v>256.8</v>
      </c>
      <c r="AC39">
        <v>20</v>
      </c>
      <c r="AD39" t="s">
        <v>163</v>
      </c>
      <c r="AE39" s="287">
        <f>VLOOKUP($AD39,'Look-ups'!$A$122:$G$130,5,FALSE)</f>
        <v>9.1436865021770675E-2</v>
      </c>
      <c r="AF39" s="287">
        <f>VLOOKUP($AD39,'Look-ups'!$A$122:$G$130,6,FALSE)</f>
        <v>0.2815674891146589</v>
      </c>
      <c r="AG39" s="287">
        <f>VLOOKUP($AD39,'Look-ups'!$A$122:$G$130,7,FALSE)</f>
        <v>0.62699564586357037</v>
      </c>
      <c r="AH39" s="291">
        <f>VLOOKUP($AC39,'Look-ups'!$A$50:$AO$118,'Look-ups'!$B$133*4,FALSE)*0.277778</f>
        <v>64.301457091597655</v>
      </c>
      <c r="AI39" s="291">
        <f>VLOOKUP($AC39,'Look-ups'!$A$50:$AO$118,'Look-ups'!$B$133*4+1,FALSE)*0.277778</f>
        <v>27.643060908402347</v>
      </c>
      <c r="AJ39" s="291">
        <f>AE39*$AH39/'Look-ups'!$B$141</f>
        <v>7.6856518337092741</v>
      </c>
      <c r="AK39" s="291">
        <f>AF39*$AH39/'Look-ups'!$B$140</f>
        <v>24.801643588623467</v>
      </c>
      <c r="AL39" s="291">
        <f>AG39*$AH39/'Look-ups'!$B$137</f>
        <v>7.6793778322123671</v>
      </c>
      <c r="AM39" s="291">
        <f>AI39/'Look-ups'!$B$136</f>
        <v>5.8195917701899678</v>
      </c>
      <c r="AN39" s="290">
        <f>AJ39*VLOOKUP($AD39,'Look-ups'!$A$123:$M$130,10,FALSE)</f>
        <v>2.0858005115372111</v>
      </c>
      <c r="AO39" s="290">
        <f>AK39*VLOOKUP($AD39,'Look-ups'!$A$123:$M$130,9,FALSE)</f>
        <v>3.8254551103964611</v>
      </c>
      <c r="AP39" s="290">
        <f>(AL39+AM39)*VLOOKUP($AD39,'Look-ups'!$A$123:$M$130,8,FALSE)</f>
        <v>4.3196702727687475</v>
      </c>
      <c r="AQ39" s="290">
        <f t="shared" si="0"/>
        <v>10.23092589470242</v>
      </c>
      <c r="AR39" s="292">
        <f>AJ39*VLOOKUP($AD39,'Look-ups'!$A$123:$M$130,11,FALSE)</f>
        <v>3.3202945604100975E-2</v>
      </c>
      <c r="AS39" s="292">
        <f>AK39*VLOOKUP($AD39,'Look-ups'!$A$123:$M$130,12,FALSE)</f>
        <v>4.6010321277379393</v>
      </c>
      <c r="AT39" s="292">
        <f>(AL39+AM39)*VLOOKUP($AD39,'Look-ups'!$A$123:$M$130,13,FALSE)</f>
        <v>3.4746347756583611</v>
      </c>
      <c r="AU39" s="292">
        <f t="shared" si="1"/>
        <v>8.108869849000401</v>
      </c>
      <c r="AW39" t="s">
        <v>184</v>
      </c>
    </row>
    <row r="40" spans="1:49" x14ac:dyDescent="0.25">
      <c r="A40">
        <v>1036</v>
      </c>
      <c r="B40" t="s">
        <v>184</v>
      </c>
      <c r="C40">
        <v>572.63710000000003</v>
      </c>
      <c r="D40">
        <v>305691</v>
      </c>
      <c r="E40">
        <v>533.83023908161033</v>
      </c>
      <c r="F40" t="s">
        <v>172</v>
      </c>
      <c r="G40" t="s">
        <v>163</v>
      </c>
      <c r="H40">
        <f>VLOOKUP(CONCATENATE($G40,"-",$F40,"-",$H$2),'Look-ups'!$O$3:$S$34,5,FALSE)*VLOOKUP(CONCATENATE($F40,"-",$H$2,"-",H$3),'Look-ups'!$I$3:$M$24,5,FALSE)</f>
        <v>316</v>
      </c>
      <c r="I40">
        <f>VLOOKUP(CONCATENATE($G40,"-",$F40,"-",$H$2),'Look-ups'!$O$3:$S$34,5,FALSE)*VLOOKUP(CONCATENATE($F40,"-",$H$2,"-",I$3),'Look-ups'!$I$3:$M$24,5,FALSE)</f>
        <v>474</v>
      </c>
      <c r="J40">
        <f>VLOOKUP(CONCATENATE($G40,"-",$F40,"-",$H$2),'Look-ups'!$O$3:$S$34,5,FALSE)*VLOOKUP(CONCATENATE($F40,"-",$H$2,"-",J$3),'Look-ups'!$I$3:$M$24,5,FALSE)</f>
        <v>553</v>
      </c>
      <c r="K40">
        <f>VLOOKUP(CONCATENATE($G40,"-",$F40,"-",$H$2),'Look-ups'!$O$3:$S$34,5,FALSE)*VLOOKUP(CONCATENATE($F40,"-",$H$2,"-",K$3),'Look-ups'!$I$3:$M$24,5,FALSE)</f>
        <v>711</v>
      </c>
      <c r="L40">
        <f>VLOOKUP(CONCATENATE($G40,"-",$F40,"-",$H$2),'Look-ups'!$O$3:$S$34,5,FALSE)*VLOOKUP(CONCATENATE($F40,"-",$H$2,"-",L$3),'Look-ups'!$I$3:$M$24,5,FALSE)</f>
        <v>790</v>
      </c>
      <c r="M40">
        <f>VLOOKUP(CONCATENATE($G40,"-",$F40,"-",$H$2),'Look-ups'!$O$3:$S$34,5,FALSE)*VLOOKUP(CONCATENATE($F40,"-",$H$2,"-",M$3),'Look-ups'!$I$3:$M$24,5,FALSE)</f>
        <v>869</v>
      </c>
      <c r="N40">
        <f>VLOOKUP(CONCATENATE($G40,"-",$F40,"-",$N$2),'Look-ups'!$O$3:$S$34,5,FALSE)*VLOOKUP(CONCATENATE($F40,"-",$N$2,"-",N$3),'Look-ups'!$I$3:$M$24,5,FALSE)</f>
        <v>315</v>
      </c>
      <c r="O40">
        <f>VLOOKUP(CONCATENATE($G40,"-",$F40,"-",$N$2),'Look-ups'!$O$3:$S$34,5,FALSE)*VLOOKUP(CONCATENATE($F40,"-",$N$2,"-",O$3),'Look-ups'!$I$3:$M$24,5,FALSE)</f>
        <v>315</v>
      </c>
      <c r="P40">
        <f>VLOOKUP(CONCATENATE($G40,"-",$F40,"-",$N$2),'Look-ups'!$O$3:$S$34,5,FALSE)*VLOOKUP(CONCATENATE($F40,"-",$N$2,"-",P$3),'Look-ups'!$I$3:$M$24,5,FALSE)</f>
        <v>420</v>
      </c>
      <c r="Q40">
        <f>VLOOKUP(CONCATENATE($G40,"-",$F40,"-",$N$2),'Look-ups'!$O$3:$S$34,5,FALSE)*VLOOKUP(CONCATENATE($F40,"-",$N$2,"-",Q$3),'Look-ups'!$I$3:$M$24,5,FALSE)</f>
        <v>540</v>
      </c>
      <c r="R40">
        <f>VLOOKUP(CONCATENATE($G40,"-",$F40,"-",$N$2),'Look-ups'!$O$3:$S$34,5,FALSE)*VLOOKUP(CONCATENATE($F40,"-",$N$2,"-",R$3),'Look-ups'!$I$3:$M$24,5,FALSE)</f>
        <v>615</v>
      </c>
      <c r="S40" s="117">
        <f>VLOOKUP(CONCATENATE($G40,"-",$F40,"-Lone Person"),'Look-ups'!$Y$4:$AG$35,5,FALSE)</f>
        <v>107</v>
      </c>
      <c r="T40">
        <f>VLOOKUP(CONCATENATE($G40,"-",$F40,"-Lone Person"),'Look-ups'!$Y$4:$AG$35,6,FALSE)</f>
        <v>153.01000000000002</v>
      </c>
      <c r="U40">
        <f>VLOOKUP(CONCATENATE($G40,"-",$F40,"-Lone Person"),'Look-ups'!$Y$4:$AG$35,7,FALSE)</f>
        <v>182.97</v>
      </c>
      <c r="V40">
        <f>VLOOKUP(CONCATENATE($G40,"-",$F40,"-Lone Person"),'Look-ups'!$Y$4:$AG$35,8,FALSE)</f>
        <v>223.63000000000002</v>
      </c>
      <c r="W40">
        <f>VLOOKUP(CONCATENATE($G40,"-",$F40,"-Lone Person"),'Look-ups'!$Y$4:$AG$35,9,FALSE)</f>
        <v>212.93</v>
      </c>
      <c r="X40" s="117">
        <f>VLOOKUP(CONCATENATE($G40,"-",$F40,"-Couple Only"),'Look-ups'!$Y$4:$AG$35,5,FALSE)</f>
        <v>173.34</v>
      </c>
      <c r="Y40">
        <f>VLOOKUP(CONCATENATE($G40,"-",$F40,"-Couple Only"),'Look-ups'!$Y$4:$AG$35,6,FALSE)</f>
        <v>163.71</v>
      </c>
      <c r="Z40">
        <f>VLOOKUP(CONCATENATE($G40,"-",$F40,"-Couple Only"),'Look-ups'!$Y$4:$AG$35,7,FALSE)</f>
        <v>185.11</v>
      </c>
      <c r="AA40">
        <f>VLOOKUP(CONCATENATE($G40,"-",$F40,"-Couple Only"),'Look-ups'!$Y$4:$AG$35,8,FALSE)</f>
        <v>204.37</v>
      </c>
      <c r="AB40">
        <f>VLOOKUP(CONCATENATE($G40,"-",$F40,"-Couple Only"),'Look-ups'!$Y$4:$AG$35,9,FALSE)</f>
        <v>256.8</v>
      </c>
      <c r="AC40">
        <v>56</v>
      </c>
      <c r="AD40" t="s">
        <v>163</v>
      </c>
      <c r="AE40" s="287">
        <f>VLOOKUP($AD40,'Look-ups'!$A$122:$G$130,5,FALSE)</f>
        <v>9.1436865021770675E-2</v>
      </c>
      <c r="AF40" s="287">
        <f>VLOOKUP($AD40,'Look-ups'!$A$122:$G$130,6,FALSE)</f>
        <v>0.2815674891146589</v>
      </c>
      <c r="AG40" s="287">
        <f>VLOOKUP($AD40,'Look-ups'!$A$122:$G$130,7,FALSE)</f>
        <v>0.62699564586357037</v>
      </c>
      <c r="AH40" s="291">
        <f>VLOOKUP($AC40,'Look-ups'!$A$50:$AO$118,'Look-ups'!$B$133*4,FALSE)*0.277778</f>
        <v>11.17750473529359</v>
      </c>
      <c r="AI40" s="291">
        <f>VLOOKUP($AC40,'Look-ups'!$A$50:$AO$118,'Look-ups'!$B$133*4+1,FALSE)*0.277778</f>
        <v>11.044735264706414</v>
      </c>
      <c r="AJ40" s="291">
        <f>AE40*$AH40/'Look-ups'!$B$141</f>
        <v>1.3359947604722127</v>
      </c>
      <c r="AK40" s="291">
        <f>AF40*$AH40/'Look-ups'!$B$140</f>
        <v>4.3112629354572967</v>
      </c>
      <c r="AL40" s="291">
        <f>AG40*$AH40/'Look-ups'!$B$137</f>
        <v>1.33490415250448</v>
      </c>
      <c r="AM40" s="291">
        <f>AI40/'Look-ups'!$B$136</f>
        <v>2.3252074241487186</v>
      </c>
      <c r="AN40" s="290">
        <f>AJ40*VLOOKUP($AD40,'Look-ups'!$A$123:$M$130,10,FALSE)</f>
        <v>0.36257413360593099</v>
      </c>
      <c r="AO40" s="290">
        <f>AK40*VLOOKUP($AD40,'Look-ups'!$A$123:$M$130,9,FALSE)</f>
        <v>0.66497781769080444</v>
      </c>
      <c r="AP40" s="290">
        <f>(AL40+AM40)*VLOOKUP($AD40,'Look-ups'!$A$123:$M$130,8,FALSE)</f>
        <v>1.1712357045290236</v>
      </c>
      <c r="AQ40" s="290">
        <f t="shared" si="0"/>
        <v>2.1987876558257593</v>
      </c>
      <c r="AR40" s="292">
        <f>AJ40*VLOOKUP($AD40,'Look-ups'!$A$123:$M$130,11,FALSE)</f>
        <v>5.7716589716911657E-3</v>
      </c>
      <c r="AS40" s="292">
        <f>AK40*VLOOKUP($AD40,'Look-ups'!$A$123:$M$130,12,FALSE)</f>
        <v>0.79979615892326206</v>
      </c>
      <c r="AT40" s="292">
        <f>(AL40+AM40)*VLOOKUP($AD40,'Look-ups'!$A$123:$M$130,13,FALSE)</f>
        <v>0.94211271983053335</v>
      </c>
      <c r="AU40" s="292">
        <f t="shared" si="1"/>
        <v>1.7476805377254867</v>
      </c>
    </row>
    <row r="41" spans="1:49" x14ac:dyDescent="0.25">
      <c r="A41">
        <v>2000</v>
      </c>
      <c r="B41" t="s">
        <v>336</v>
      </c>
      <c r="C41">
        <v>214524.81450000001</v>
      </c>
      <c r="D41">
        <v>716050</v>
      </c>
      <c r="E41">
        <v>3.3378422988917209</v>
      </c>
      <c r="F41" t="s">
        <v>172</v>
      </c>
      <c r="G41" t="s">
        <v>168</v>
      </c>
      <c r="H41">
        <f>VLOOKUP(CONCATENATE($G41,"-",$F41,"-",$H$2),'Look-ups'!$O$3:$S$34,5,FALSE)*VLOOKUP(CONCATENATE($F41,"-",$H$2,"-",H$3),'Look-ups'!$I$3:$M$24,5,FALSE)</f>
        <v>208</v>
      </c>
      <c r="I41">
        <f>VLOOKUP(CONCATENATE($G41,"-",$F41,"-",$H$2),'Look-ups'!$O$3:$S$34,5,FALSE)*VLOOKUP(CONCATENATE($F41,"-",$H$2,"-",I$3),'Look-ups'!$I$3:$M$24,5,FALSE)</f>
        <v>312</v>
      </c>
      <c r="J41">
        <f>VLOOKUP(CONCATENATE($G41,"-",$F41,"-",$H$2),'Look-ups'!$O$3:$S$34,5,FALSE)*VLOOKUP(CONCATENATE($F41,"-",$H$2,"-",J$3),'Look-ups'!$I$3:$M$24,5,FALSE)</f>
        <v>364</v>
      </c>
      <c r="K41">
        <f>VLOOKUP(CONCATENATE($G41,"-",$F41,"-",$H$2),'Look-ups'!$O$3:$S$34,5,FALSE)*VLOOKUP(CONCATENATE($F41,"-",$H$2,"-",K$3),'Look-ups'!$I$3:$M$24,5,FALSE)</f>
        <v>468</v>
      </c>
      <c r="L41">
        <f>VLOOKUP(CONCATENATE($G41,"-",$F41,"-",$H$2),'Look-ups'!$O$3:$S$34,5,FALSE)*VLOOKUP(CONCATENATE($F41,"-",$H$2,"-",L$3),'Look-ups'!$I$3:$M$24,5,FALSE)</f>
        <v>520</v>
      </c>
      <c r="M41">
        <f>VLOOKUP(CONCATENATE($G41,"-",$F41,"-",$H$2),'Look-ups'!$O$3:$S$34,5,FALSE)*VLOOKUP(CONCATENATE($F41,"-",$H$2,"-",M$3),'Look-ups'!$I$3:$M$24,5,FALSE)</f>
        <v>572</v>
      </c>
      <c r="N41">
        <f>VLOOKUP(CONCATENATE($G41,"-",$F41,"-",$N$2),'Look-ups'!$O$3:$S$34,5,FALSE)*VLOOKUP(CONCATENATE($F41,"-",$N$2,"-",N$3),'Look-ups'!$I$3:$M$24,5,FALSE)</f>
        <v>210</v>
      </c>
      <c r="O41">
        <f>VLOOKUP(CONCATENATE($G41,"-",$F41,"-",$N$2),'Look-ups'!$O$3:$S$34,5,FALSE)*VLOOKUP(CONCATENATE($F41,"-",$N$2,"-",O$3),'Look-ups'!$I$3:$M$24,5,FALSE)</f>
        <v>210</v>
      </c>
      <c r="P41">
        <f>VLOOKUP(CONCATENATE($G41,"-",$F41,"-",$N$2),'Look-ups'!$O$3:$S$34,5,FALSE)*VLOOKUP(CONCATENATE($F41,"-",$N$2,"-",P$3),'Look-ups'!$I$3:$M$24,5,FALSE)</f>
        <v>280</v>
      </c>
      <c r="Q41">
        <f>VLOOKUP(CONCATENATE($G41,"-",$F41,"-",$N$2),'Look-ups'!$O$3:$S$34,5,FALSE)*VLOOKUP(CONCATENATE($F41,"-",$N$2,"-",Q$3),'Look-ups'!$I$3:$M$24,5,FALSE)</f>
        <v>360</v>
      </c>
      <c r="R41">
        <f>VLOOKUP(CONCATENATE($G41,"-",$F41,"-",$N$2),'Look-ups'!$O$3:$S$34,5,FALSE)*VLOOKUP(CONCATENATE($F41,"-",$N$2,"-",R$3),'Look-ups'!$I$3:$M$24,5,FALSE)</f>
        <v>410</v>
      </c>
      <c r="S41" s="117">
        <f>VLOOKUP(CONCATENATE($G41,"-",$F41,"-Lone Person"),'Look-ups'!$Y$4:$AG$35,5,FALSE)</f>
        <v>94.160000000000011</v>
      </c>
      <c r="T41">
        <f>VLOOKUP(CONCATENATE($G41,"-",$F41,"-Lone Person"),'Look-ups'!$Y$4:$AG$35,6,FALSE)</f>
        <v>134.82000000000002</v>
      </c>
      <c r="U41">
        <f>VLOOKUP(CONCATENATE($G41,"-",$F41,"-Lone Person"),'Look-ups'!$Y$4:$AG$35,7,FALSE)</f>
        <v>161.57000000000002</v>
      </c>
      <c r="V41">
        <f>VLOOKUP(CONCATENATE($G41,"-",$F41,"-Lone Person"),'Look-ups'!$Y$4:$AG$35,8,FALSE)</f>
        <v>197.95000000000002</v>
      </c>
      <c r="W41">
        <f>VLOOKUP(CONCATENATE($G41,"-",$F41,"-Lone Person"),'Look-ups'!$Y$4:$AG$35,9,FALSE)</f>
        <v>188.32000000000002</v>
      </c>
      <c r="X41" s="117">
        <f>VLOOKUP(CONCATENATE($G41,"-",$F41,"-Couple Only"),'Look-ups'!$Y$4:$AG$35,5,FALSE)</f>
        <v>153.01000000000002</v>
      </c>
      <c r="Y41">
        <f>VLOOKUP(CONCATENATE($G41,"-",$F41,"-Couple Only"),'Look-ups'!$Y$4:$AG$35,6,FALSE)</f>
        <v>144.45000000000002</v>
      </c>
      <c r="Z41">
        <f>VLOOKUP(CONCATENATE($G41,"-",$F41,"-Couple Only"),'Look-ups'!$Y$4:$AG$35,7,FALSE)</f>
        <v>163.71</v>
      </c>
      <c r="AA41">
        <f>VLOOKUP(CONCATENATE($G41,"-",$F41,"-Couple Only"),'Look-ups'!$Y$4:$AG$35,8,FALSE)</f>
        <v>180.83</v>
      </c>
      <c r="AB41">
        <f>VLOOKUP(CONCATENATE($G41,"-",$F41,"-Couple Only"),'Look-ups'!$Y$4:$AG$35,9,FALSE)</f>
        <v>226.84</v>
      </c>
      <c r="AC41">
        <v>60</v>
      </c>
      <c r="AD41" t="s">
        <v>168</v>
      </c>
      <c r="AE41" s="287">
        <f>VLOOKUP($AD41,'Look-ups'!$A$122:$G$130,5,FALSE)</f>
        <v>8.2785087719298239E-2</v>
      </c>
      <c r="AF41" s="287">
        <f>VLOOKUP($AD41,'Look-ups'!$A$122:$G$130,6,FALSE)</f>
        <v>0.60690789473684215</v>
      </c>
      <c r="AG41" s="287">
        <f>VLOOKUP($AD41,'Look-ups'!$A$122:$G$130,7,FALSE)</f>
        <v>0.31030701754385964</v>
      </c>
      <c r="AH41" s="291">
        <f>VLOOKUP($AC41,'Look-ups'!$A$50:$AO$118,'Look-ups'!$B$133*4,FALSE)*0.277778</f>
        <v>64.505164090737964</v>
      </c>
      <c r="AI41" s="291">
        <f>VLOOKUP($AC41,'Look-ups'!$A$50:$AO$118,'Look-ups'!$B$133*4+1,FALSE)*0.277778</f>
        <v>12.994897909262034</v>
      </c>
      <c r="AJ41" s="291">
        <f>AE41*$AH41/'Look-ups'!$B$141</f>
        <v>6.9804779968620521</v>
      </c>
      <c r="AK41" s="291">
        <f>AF41*$AH41/'Look-ups'!$B$140</f>
        <v>53.628347038307297</v>
      </c>
      <c r="AL41" s="291">
        <f>AG41*$AH41/'Look-ups'!$B$137</f>
        <v>3.8126485876522231</v>
      </c>
      <c r="AM41" s="291">
        <f>AI41/'Look-ups'!$B$136</f>
        <v>2.7357679808972706</v>
      </c>
      <c r="AN41" s="290">
        <f>AJ41*VLOOKUP($AD41,'Look-ups'!$A$123:$M$130,10,FALSE)</f>
        <v>1.8944241674817288</v>
      </c>
      <c r="AO41" s="290">
        <f>AK41*VLOOKUP($AD41,'Look-ups'!$A$123:$M$130,9,FALSE)</f>
        <v>6.1840532432207649</v>
      </c>
      <c r="AP41" s="290">
        <f>(AL41+AM41)*VLOOKUP($AD41,'Look-ups'!$A$123:$M$130,8,FALSE)</f>
        <v>2.0954933019358379</v>
      </c>
      <c r="AQ41" s="290">
        <f t="shared" si="0"/>
        <v>10.173970712638331</v>
      </c>
      <c r="AR41" s="292">
        <f>AJ41*VLOOKUP($AD41,'Look-ups'!$A$123:$M$130,11,FALSE)</f>
        <v>3.0156509328705266E-2</v>
      </c>
      <c r="AS41" s="292">
        <f>AK41*VLOOKUP($AD41,'Look-ups'!$A$123:$M$130,12,FALSE)</f>
        <v>9.9487659678294094</v>
      </c>
      <c r="AT41" s="292">
        <f>(AL41+AM41)*VLOOKUP($AD41,'Look-ups'!$A$123:$M$130,13,FALSE)</f>
        <v>1.6056717426083358</v>
      </c>
      <c r="AU41" s="292">
        <f t="shared" si="1"/>
        <v>11.584594219766451</v>
      </c>
    </row>
    <row r="42" spans="1:49" x14ac:dyDescent="0.25">
      <c r="A42">
        <v>2001</v>
      </c>
      <c r="B42" t="s">
        <v>337</v>
      </c>
      <c r="C42">
        <v>196.29830000000001</v>
      </c>
      <c r="D42">
        <v>24717</v>
      </c>
      <c r="E42">
        <v>125.9155071643514</v>
      </c>
      <c r="F42" t="s">
        <v>172</v>
      </c>
      <c r="G42" t="s">
        <v>168</v>
      </c>
      <c r="H42">
        <f>VLOOKUP(CONCATENATE($G42,"-",$F42,"-",$H$2),'Look-ups'!$O$3:$S$34,5,FALSE)*VLOOKUP(CONCATENATE($F42,"-",$H$2,"-",H$3),'Look-ups'!$I$3:$M$24,5,FALSE)</f>
        <v>208</v>
      </c>
      <c r="I42">
        <f>VLOOKUP(CONCATENATE($G42,"-",$F42,"-",$H$2),'Look-ups'!$O$3:$S$34,5,FALSE)*VLOOKUP(CONCATENATE($F42,"-",$H$2,"-",I$3),'Look-ups'!$I$3:$M$24,5,FALSE)</f>
        <v>312</v>
      </c>
      <c r="J42">
        <f>VLOOKUP(CONCATENATE($G42,"-",$F42,"-",$H$2),'Look-ups'!$O$3:$S$34,5,FALSE)*VLOOKUP(CONCATENATE($F42,"-",$H$2,"-",J$3),'Look-ups'!$I$3:$M$24,5,FALSE)</f>
        <v>364</v>
      </c>
      <c r="K42">
        <f>VLOOKUP(CONCATENATE($G42,"-",$F42,"-",$H$2),'Look-ups'!$O$3:$S$34,5,FALSE)*VLOOKUP(CONCATENATE($F42,"-",$H$2,"-",K$3),'Look-ups'!$I$3:$M$24,5,FALSE)</f>
        <v>468</v>
      </c>
      <c r="L42">
        <f>VLOOKUP(CONCATENATE($G42,"-",$F42,"-",$H$2),'Look-ups'!$O$3:$S$34,5,FALSE)*VLOOKUP(CONCATENATE($F42,"-",$H$2,"-",L$3),'Look-ups'!$I$3:$M$24,5,FALSE)</f>
        <v>520</v>
      </c>
      <c r="M42">
        <f>VLOOKUP(CONCATENATE($G42,"-",$F42,"-",$H$2),'Look-ups'!$O$3:$S$34,5,FALSE)*VLOOKUP(CONCATENATE($F42,"-",$H$2,"-",M$3),'Look-ups'!$I$3:$M$24,5,FALSE)</f>
        <v>572</v>
      </c>
      <c r="N42">
        <f>VLOOKUP(CONCATENATE($G42,"-",$F42,"-",$N$2),'Look-ups'!$O$3:$S$34,5,FALSE)*VLOOKUP(CONCATENATE($F42,"-",$N$2,"-",N$3),'Look-ups'!$I$3:$M$24,5,FALSE)</f>
        <v>210</v>
      </c>
      <c r="O42">
        <f>VLOOKUP(CONCATENATE($G42,"-",$F42,"-",$N$2),'Look-ups'!$O$3:$S$34,5,FALSE)*VLOOKUP(CONCATENATE($F42,"-",$N$2,"-",O$3),'Look-ups'!$I$3:$M$24,5,FALSE)</f>
        <v>210</v>
      </c>
      <c r="P42">
        <f>VLOOKUP(CONCATENATE($G42,"-",$F42,"-",$N$2),'Look-ups'!$O$3:$S$34,5,FALSE)*VLOOKUP(CONCATENATE($F42,"-",$N$2,"-",P$3),'Look-ups'!$I$3:$M$24,5,FALSE)</f>
        <v>280</v>
      </c>
      <c r="Q42">
        <f>VLOOKUP(CONCATENATE($G42,"-",$F42,"-",$N$2),'Look-ups'!$O$3:$S$34,5,FALSE)*VLOOKUP(CONCATENATE($F42,"-",$N$2,"-",Q$3),'Look-ups'!$I$3:$M$24,5,FALSE)</f>
        <v>360</v>
      </c>
      <c r="R42">
        <f>VLOOKUP(CONCATENATE($G42,"-",$F42,"-",$N$2),'Look-ups'!$O$3:$S$34,5,FALSE)*VLOOKUP(CONCATENATE($F42,"-",$N$2,"-",R$3),'Look-ups'!$I$3:$M$24,5,FALSE)</f>
        <v>410</v>
      </c>
      <c r="S42" s="117">
        <f>VLOOKUP(CONCATENATE($G42,"-",$F42,"-Lone Person"),'Look-ups'!$Y$4:$AG$35,5,FALSE)</f>
        <v>94.160000000000011</v>
      </c>
      <c r="T42">
        <f>VLOOKUP(CONCATENATE($G42,"-",$F42,"-Lone Person"),'Look-ups'!$Y$4:$AG$35,6,FALSE)</f>
        <v>134.82000000000002</v>
      </c>
      <c r="U42">
        <f>VLOOKUP(CONCATENATE($G42,"-",$F42,"-Lone Person"),'Look-ups'!$Y$4:$AG$35,7,FALSE)</f>
        <v>161.57000000000002</v>
      </c>
      <c r="V42">
        <f>VLOOKUP(CONCATENATE($G42,"-",$F42,"-Lone Person"),'Look-ups'!$Y$4:$AG$35,8,FALSE)</f>
        <v>197.95000000000002</v>
      </c>
      <c r="W42">
        <f>VLOOKUP(CONCATENATE($G42,"-",$F42,"-Lone Person"),'Look-ups'!$Y$4:$AG$35,9,FALSE)</f>
        <v>188.32000000000002</v>
      </c>
      <c r="X42" s="117">
        <f>VLOOKUP(CONCATENATE($G42,"-",$F42,"-Couple Only"),'Look-ups'!$Y$4:$AG$35,5,FALSE)</f>
        <v>153.01000000000002</v>
      </c>
      <c r="Y42">
        <f>VLOOKUP(CONCATENATE($G42,"-",$F42,"-Couple Only"),'Look-ups'!$Y$4:$AG$35,6,FALSE)</f>
        <v>144.45000000000002</v>
      </c>
      <c r="Z42">
        <f>VLOOKUP(CONCATENATE($G42,"-",$F42,"-Couple Only"),'Look-ups'!$Y$4:$AG$35,7,FALSE)</f>
        <v>163.71</v>
      </c>
      <c r="AA42">
        <f>VLOOKUP(CONCATENATE($G42,"-",$F42,"-Couple Only"),'Look-ups'!$Y$4:$AG$35,8,FALSE)</f>
        <v>180.83</v>
      </c>
      <c r="AB42">
        <f>VLOOKUP(CONCATENATE($G42,"-",$F42,"-Couple Only"),'Look-ups'!$Y$4:$AG$35,9,FALSE)</f>
        <v>226.84</v>
      </c>
      <c r="AC42">
        <v>66</v>
      </c>
      <c r="AD42" t="s">
        <v>168</v>
      </c>
      <c r="AE42" s="287">
        <f>VLOOKUP($AD42,'Look-ups'!$A$122:$G$130,5,FALSE)</f>
        <v>8.2785087719298239E-2</v>
      </c>
      <c r="AF42" s="287">
        <f>VLOOKUP($AD42,'Look-ups'!$A$122:$G$130,6,FALSE)</f>
        <v>0.60690789473684215</v>
      </c>
      <c r="AG42" s="287">
        <f>VLOOKUP($AD42,'Look-ups'!$A$122:$G$130,7,FALSE)</f>
        <v>0.31030701754385964</v>
      </c>
      <c r="AH42" s="291">
        <f>VLOOKUP($AC42,'Look-ups'!$A$50:$AO$118,'Look-ups'!$B$133*4,FALSE)*0.277778</f>
        <v>110.95887229220909</v>
      </c>
      <c r="AI42" s="291">
        <f>VLOOKUP($AC42,'Look-ups'!$A$50:$AO$118,'Look-ups'!$B$133*4+1,FALSE)*0.277778</f>
        <v>12.930115707790923</v>
      </c>
      <c r="AJ42" s="291">
        <f>AE42*$AH42/'Look-ups'!$B$141</f>
        <v>12.007503236529336</v>
      </c>
      <c r="AK42" s="291">
        <f>AF42*$AH42/'Look-ups'!$B$140</f>
        <v>92.24906244553253</v>
      </c>
      <c r="AL42" s="291">
        <f>AG42*$AH42/'Look-ups'!$B$137</f>
        <v>6.55834604400484</v>
      </c>
      <c r="AM42" s="291">
        <f>AI42/'Look-ups'!$B$136</f>
        <v>2.722129622692826</v>
      </c>
      <c r="AN42" s="290">
        <f>AJ42*VLOOKUP($AD42,'Look-ups'!$A$123:$M$130,10,FALSE)</f>
        <v>3.2587029616914331</v>
      </c>
      <c r="AO42" s="290">
        <f>AK42*VLOOKUP($AD42,'Look-ups'!$A$123:$M$130,9,FALSE)</f>
        <v>10.637529316219188</v>
      </c>
      <c r="AP42" s="290">
        <f>(AL42+AM42)*VLOOKUP($AD42,'Look-ups'!$A$123:$M$130,8,FALSE)</f>
        <v>2.969752213343253</v>
      </c>
      <c r="AQ42" s="290">
        <f t="shared" si="0"/>
        <v>16.865984491253876</v>
      </c>
      <c r="AR42" s="292">
        <f>AJ42*VLOOKUP($AD42,'Look-ups'!$A$123:$M$130,11,FALSE)</f>
        <v>5.1873866450067335E-2</v>
      </c>
      <c r="AS42" s="292">
        <f>AK42*VLOOKUP($AD42,'Look-ups'!$A$123:$M$130,12,FALSE)</f>
        <v>17.113418251856903</v>
      </c>
      <c r="AT42" s="292">
        <f>(AL42+AM42)*VLOOKUP($AD42,'Look-ups'!$A$123:$M$130,13,FALSE)</f>
        <v>2.2755726334742676</v>
      </c>
      <c r="AU42" s="292">
        <f t="shared" si="1"/>
        <v>19.440864751781238</v>
      </c>
    </row>
    <row r="43" spans="1:49" x14ac:dyDescent="0.25">
      <c r="A43">
        <v>2002</v>
      </c>
      <c r="B43" t="s">
        <v>338</v>
      </c>
      <c r="C43">
        <v>155.01150000000001</v>
      </c>
      <c r="D43">
        <v>15684</v>
      </c>
      <c r="E43">
        <v>101.17958990139441</v>
      </c>
      <c r="F43" t="s">
        <v>172</v>
      </c>
      <c r="G43" t="s">
        <v>168</v>
      </c>
      <c r="H43">
        <f>VLOOKUP(CONCATENATE($G43,"-",$F43,"-",$H$2),'Look-ups'!$O$3:$S$34,5,FALSE)*VLOOKUP(CONCATENATE($F43,"-",$H$2,"-",H$3),'Look-ups'!$I$3:$M$24,5,FALSE)</f>
        <v>208</v>
      </c>
      <c r="I43">
        <f>VLOOKUP(CONCATENATE($G43,"-",$F43,"-",$H$2),'Look-ups'!$O$3:$S$34,5,FALSE)*VLOOKUP(CONCATENATE($F43,"-",$H$2,"-",I$3),'Look-ups'!$I$3:$M$24,5,FALSE)</f>
        <v>312</v>
      </c>
      <c r="J43">
        <f>VLOOKUP(CONCATENATE($G43,"-",$F43,"-",$H$2),'Look-ups'!$O$3:$S$34,5,FALSE)*VLOOKUP(CONCATENATE($F43,"-",$H$2,"-",J$3),'Look-ups'!$I$3:$M$24,5,FALSE)</f>
        <v>364</v>
      </c>
      <c r="K43">
        <f>VLOOKUP(CONCATENATE($G43,"-",$F43,"-",$H$2),'Look-ups'!$O$3:$S$34,5,FALSE)*VLOOKUP(CONCATENATE($F43,"-",$H$2,"-",K$3),'Look-ups'!$I$3:$M$24,5,FALSE)</f>
        <v>468</v>
      </c>
      <c r="L43">
        <f>VLOOKUP(CONCATENATE($G43,"-",$F43,"-",$H$2),'Look-ups'!$O$3:$S$34,5,FALSE)*VLOOKUP(CONCATENATE($F43,"-",$H$2,"-",L$3),'Look-ups'!$I$3:$M$24,5,FALSE)</f>
        <v>520</v>
      </c>
      <c r="M43">
        <f>VLOOKUP(CONCATENATE($G43,"-",$F43,"-",$H$2),'Look-ups'!$O$3:$S$34,5,FALSE)*VLOOKUP(CONCATENATE($F43,"-",$H$2,"-",M$3),'Look-ups'!$I$3:$M$24,5,FALSE)</f>
        <v>572</v>
      </c>
      <c r="N43">
        <f>VLOOKUP(CONCATENATE($G43,"-",$F43,"-",$N$2),'Look-ups'!$O$3:$S$34,5,FALSE)*VLOOKUP(CONCATENATE($F43,"-",$N$2,"-",N$3),'Look-ups'!$I$3:$M$24,5,FALSE)</f>
        <v>210</v>
      </c>
      <c r="O43">
        <f>VLOOKUP(CONCATENATE($G43,"-",$F43,"-",$N$2),'Look-ups'!$O$3:$S$34,5,FALSE)*VLOOKUP(CONCATENATE($F43,"-",$N$2,"-",O$3),'Look-ups'!$I$3:$M$24,5,FALSE)</f>
        <v>210</v>
      </c>
      <c r="P43">
        <f>VLOOKUP(CONCATENATE($G43,"-",$F43,"-",$N$2),'Look-ups'!$O$3:$S$34,5,FALSE)*VLOOKUP(CONCATENATE($F43,"-",$N$2,"-",P$3),'Look-ups'!$I$3:$M$24,5,FALSE)</f>
        <v>280</v>
      </c>
      <c r="Q43">
        <f>VLOOKUP(CONCATENATE($G43,"-",$F43,"-",$N$2),'Look-ups'!$O$3:$S$34,5,FALSE)*VLOOKUP(CONCATENATE($F43,"-",$N$2,"-",Q$3),'Look-ups'!$I$3:$M$24,5,FALSE)</f>
        <v>360</v>
      </c>
      <c r="R43">
        <f>VLOOKUP(CONCATENATE($G43,"-",$F43,"-",$N$2),'Look-ups'!$O$3:$S$34,5,FALSE)*VLOOKUP(CONCATENATE($F43,"-",$N$2,"-",R$3),'Look-ups'!$I$3:$M$24,5,FALSE)</f>
        <v>410</v>
      </c>
      <c r="S43" s="117">
        <f>VLOOKUP(CONCATENATE($G43,"-",$F43,"-Lone Person"),'Look-ups'!$Y$4:$AG$35,5,FALSE)</f>
        <v>94.160000000000011</v>
      </c>
      <c r="T43">
        <f>VLOOKUP(CONCATENATE($G43,"-",$F43,"-Lone Person"),'Look-ups'!$Y$4:$AG$35,6,FALSE)</f>
        <v>134.82000000000002</v>
      </c>
      <c r="U43">
        <f>VLOOKUP(CONCATENATE($G43,"-",$F43,"-Lone Person"),'Look-ups'!$Y$4:$AG$35,7,FALSE)</f>
        <v>161.57000000000002</v>
      </c>
      <c r="V43">
        <f>VLOOKUP(CONCATENATE($G43,"-",$F43,"-Lone Person"),'Look-ups'!$Y$4:$AG$35,8,FALSE)</f>
        <v>197.95000000000002</v>
      </c>
      <c r="W43">
        <f>VLOOKUP(CONCATENATE($G43,"-",$F43,"-Lone Person"),'Look-ups'!$Y$4:$AG$35,9,FALSE)</f>
        <v>188.32000000000002</v>
      </c>
      <c r="X43" s="117">
        <f>VLOOKUP(CONCATENATE($G43,"-",$F43,"-Couple Only"),'Look-ups'!$Y$4:$AG$35,5,FALSE)</f>
        <v>153.01000000000002</v>
      </c>
      <c r="Y43">
        <f>VLOOKUP(CONCATENATE($G43,"-",$F43,"-Couple Only"),'Look-ups'!$Y$4:$AG$35,6,FALSE)</f>
        <v>144.45000000000002</v>
      </c>
      <c r="Z43">
        <f>VLOOKUP(CONCATENATE($G43,"-",$F43,"-Couple Only"),'Look-ups'!$Y$4:$AG$35,7,FALSE)</f>
        <v>163.71</v>
      </c>
      <c r="AA43">
        <f>VLOOKUP(CONCATENATE($G43,"-",$F43,"-Couple Only"),'Look-ups'!$Y$4:$AG$35,8,FALSE)</f>
        <v>180.83</v>
      </c>
      <c r="AB43">
        <f>VLOOKUP(CONCATENATE($G43,"-",$F43,"-Couple Only"),'Look-ups'!$Y$4:$AG$35,9,FALSE)</f>
        <v>226.84</v>
      </c>
      <c r="AC43">
        <v>22</v>
      </c>
      <c r="AD43" t="s">
        <v>168</v>
      </c>
      <c r="AE43" s="287">
        <f>VLOOKUP($AD43,'Look-ups'!$A$122:$G$130,5,FALSE)</f>
        <v>8.2785087719298239E-2</v>
      </c>
      <c r="AF43" s="287">
        <f>VLOOKUP($AD43,'Look-ups'!$A$122:$G$130,6,FALSE)</f>
        <v>0.60690789473684215</v>
      </c>
      <c r="AG43" s="287">
        <f>VLOOKUP($AD43,'Look-ups'!$A$122:$G$130,7,FALSE)</f>
        <v>0.31030701754385964</v>
      </c>
      <c r="AH43" s="291">
        <f>VLOOKUP($AC43,'Look-ups'!$A$50:$AO$118,'Look-ups'!$B$133*4,FALSE)*0.277778</f>
        <v>77.059494144222086</v>
      </c>
      <c r="AI43" s="291">
        <f>VLOOKUP($AC43,'Look-ups'!$A$50:$AO$118,'Look-ups'!$B$133*4+1,FALSE)*0.277778</f>
        <v>9.0516858557779365</v>
      </c>
      <c r="AJ43" s="291">
        <f>AE43*$AH43/'Look-ups'!$B$141</f>
        <v>8.339054878868204</v>
      </c>
      <c r="AK43" s="291">
        <f>AF43*$AH43/'Look-ups'!$B$140</f>
        <v>64.065774466514853</v>
      </c>
      <c r="AL43" s="291">
        <f>AG43*$AH43/'Look-ups'!$B$137</f>
        <v>4.5546860573965846</v>
      </c>
      <c r="AM43" s="291">
        <f>AI43/'Look-ups'!$B$136</f>
        <v>1.9056180749006182</v>
      </c>
      <c r="AN43" s="290">
        <f>AJ43*VLOOKUP($AD43,'Look-ups'!$A$123:$M$130,10,FALSE)</f>
        <v>2.2631268379595095</v>
      </c>
      <c r="AO43" s="290">
        <f>AK43*VLOOKUP($AD43,'Look-ups'!$A$123:$M$130,9,FALSE)</f>
        <v>7.3876258033107245</v>
      </c>
      <c r="AP43" s="290">
        <f>(AL43+AM43)*VLOOKUP($AD43,'Look-ups'!$A$123:$M$130,8,FALSE)</f>
        <v>2.0672973223351052</v>
      </c>
      <c r="AQ43" s="290">
        <f t="shared" si="0"/>
        <v>11.718049963605338</v>
      </c>
      <c r="AR43" s="292">
        <f>AJ43*VLOOKUP($AD43,'Look-ups'!$A$123:$M$130,11,FALSE)</f>
        <v>3.6025725797032955E-2</v>
      </c>
      <c r="AS43" s="292">
        <f>AK43*VLOOKUP($AD43,'Look-ups'!$A$123:$M$130,12,FALSE)</f>
        <v>11.885046471035427</v>
      </c>
      <c r="AT43" s="292">
        <f>(AL43+AM43)*VLOOKUP($AD43,'Look-ups'!$A$123:$M$130,13,FALSE)</f>
        <v>1.5840665732392742</v>
      </c>
      <c r="AU43" s="292">
        <f t="shared" si="1"/>
        <v>13.505138770071735</v>
      </c>
    </row>
    <row r="44" spans="1:49" x14ac:dyDescent="0.25">
      <c r="A44">
        <v>2003</v>
      </c>
      <c r="B44" t="s">
        <v>196</v>
      </c>
      <c r="C44">
        <v>343.62130000000002</v>
      </c>
      <c r="D44">
        <v>111973</v>
      </c>
      <c r="E44">
        <v>325.86163896126345</v>
      </c>
      <c r="F44" t="s">
        <v>172</v>
      </c>
      <c r="G44" t="s">
        <v>168</v>
      </c>
      <c r="H44">
        <f>VLOOKUP(CONCATENATE($G44,"-",$F44,"-",$H$2),'Look-ups'!$O$3:$S$34,5,FALSE)*VLOOKUP(CONCATENATE($F44,"-",$H$2,"-",H$3),'Look-ups'!$I$3:$M$24,5,FALSE)</f>
        <v>208</v>
      </c>
      <c r="I44">
        <f>VLOOKUP(CONCATENATE($G44,"-",$F44,"-",$H$2),'Look-ups'!$O$3:$S$34,5,FALSE)*VLOOKUP(CONCATENATE($F44,"-",$H$2,"-",I$3),'Look-ups'!$I$3:$M$24,5,FALSE)</f>
        <v>312</v>
      </c>
      <c r="J44">
        <f>VLOOKUP(CONCATENATE($G44,"-",$F44,"-",$H$2),'Look-ups'!$O$3:$S$34,5,FALSE)*VLOOKUP(CONCATENATE($F44,"-",$H$2,"-",J$3),'Look-ups'!$I$3:$M$24,5,FALSE)</f>
        <v>364</v>
      </c>
      <c r="K44">
        <f>VLOOKUP(CONCATENATE($G44,"-",$F44,"-",$H$2),'Look-ups'!$O$3:$S$34,5,FALSE)*VLOOKUP(CONCATENATE($F44,"-",$H$2,"-",K$3),'Look-ups'!$I$3:$M$24,5,FALSE)</f>
        <v>468</v>
      </c>
      <c r="L44">
        <f>VLOOKUP(CONCATENATE($G44,"-",$F44,"-",$H$2),'Look-ups'!$O$3:$S$34,5,FALSE)*VLOOKUP(CONCATENATE($F44,"-",$H$2,"-",L$3),'Look-ups'!$I$3:$M$24,5,FALSE)</f>
        <v>520</v>
      </c>
      <c r="M44">
        <f>VLOOKUP(CONCATENATE($G44,"-",$F44,"-",$H$2),'Look-ups'!$O$3:$S$34,5,FALSE)*VLOOKUP(CONCATENATE($F44,"-",$H$2,"-",M$3),'Look-ups'!$I$3:$M$24,5,FALSE)</f>
        <v>572</v>
      </c>
      <c r="N44">
        <f>VLOOKUP(CONCATENATE($G44,"-",$F44,"-",$N$2),'Look-ups'!$O$3:$S$34,5,FALSE)*VLOOKUP(CONCATENATE($F44,"-",$N$2,"-",N$3),'Look-ups'!$I$3:$M$24,5,FALSE)</f>
        <v>210</v>
      </c>
      <c r="O44">
        <f>VLOOKUP(CONCATENATE($G44,"-",$F44,"-",$N$2),'Look-ups'!$O$3:$S$34,5,FALSE)*VLOOKUP(CONCATENATE($F44,"-",$N$2,"-",O$3),'Look-ups'!$I$3:$M$24,5,FALSE)</f>
        <v>210</v>
      </c>
      <c r="P44">
        <f>VLOOKUP(CONCATENATE($G44,"-",$F44,"-",$N$2),'Look-ups'!$O$3:$S$34,5,FALSE)*VLOOKUP(CONCATENATE($F44,"-",$N$2,"-",P$3),'Look-ups'!$I$3:$M$24,5,FALSE)</f>
        <v>280</v>
      </c>
      <c r="Q44">
        <f>VLOOKUP(CONCATENATE($G44,"-",$F44,"-",$N$2),'Look-ups'!$O$3:$S$34,5,FALSE)*VLOOKUP(CONCATENATE($F44,"-",$N$2,"-",Q$3),'Look-ups'!$I$3:$M$24,5,FALSE)</f>
        <v>360</v>
      </c>
      <c r="R44">
        <f>VLOOKUP(CONCATENATE($G44,"-",$F44,"-",$N$2),'Look-ups'!$O$3:$S$34,5,FALSE)*VLOOKUP(CONCATENATE($F44,"-",$N$2,"-",R$3),'Look-ups'!$I$3:$M$24,5,FALSE)</f>
        <v>410</v>
      </c>
      <c r="S44" s="117">
        <f>VLOOKUP(CONCATENATE($G44,"-",$F44,"-Lone Person"),'Look-ups'!$Y$4:$AG$35,5,FALSE)</f>
        <v>94.160000000000011</v>
      </c>
      <c r="T44">
        <f>VLOOKUP(CONCATENATE($G44,"-",$F44,"-Lone Person"),'Look-ups'!$Y$4:$AG$35,6,FALSE)</f>
        <v>134.82000000000002</v>
      </c>
      <c r="U44">
        <f>VLOOKUP(CONCATENATE($G44,"-",$F44,"-Lone Person"),'Look-ups'!$Y$4:$AG$35,7,FALSE)</f>
        <v>161.57000000000002</v>
      </c>
      <c r="V44">
        <f>VLOOKUP(CONCATENATE($G44,"-",$F44,"-Lone Person"),'Look-ups'!$Y$4:$AG$35,8,FALSE)</f>
        <v>197.95000000000002</v>
      </c>
      <c r="W44">
        <f>VLOOKUP(CONCATENATE($G44,"-",$F44,"-Lone Person"),'Look-ups'!$Y$4:$AG$35,9,FALSE)</f>
        <v>188.32000000000002</v>
      </c>
      <c r="X44" s="117">
        <f>VLOOKUP(CONCATENATE($G44,"-",$F44,"-Couple Only"),'Look-ups'!$Y$4:$AG$35,5,FALSE)</f>
        <v>153.01000000000002</v>
      </c>
      <c r="Y44">
        <f>VLOOKUP(CONCATENATE($G44,"-",$F44,"-Couple Only"),'Look-ups'!$Y$4:$AG$35,6,FALSE)</f>
        <v>144.45000000000002</v>
      </c>
      <c r="Z44">
        <f>VLOOKUP(CONCATENATE($G44,"-",$F44,"-Couple Only"),'Look-ups'!$Y$4:$AG$35,7,FALSE)</f>
        <v>163.71</v>
      </c>
      <c r="AA44">
        <f>VLOOKUP(CONCATENATE($G44,"-",$F44,"-Couple Only"),'Look-ups'!$Y$4:$AG$35,8,FALSE)</f>
        <v>180.83</v>
      </c>
      <c r="AB44">
        <f>VLOOKUP(CONCATENATE($G44,"-",$F44,"-Couple Only"),'Look-ups'!$Y$4:$AG$35,9,FALSE)</f>
        <v>226.84</v>
      </c>
      <c r="AC44">
        <v>66</v>
      </c>
      <c r="AD44" t="s">
        <v>168</v>
      </c>
      <c r="AE44" s="287">
        <f>VLOOKUP($AD44,'Look-ups'!$A$122:$G$130,5,FALSE)</f>
        <v>8.2785087719298239E-2</v>
      </c>
      <c r="AF44" s="287">
        <f>VLOOKUP($AD44,'Look-ups'!$A$122:$G$130,6,FALSE)</f>
        <v>0.60690789473684215</v>
      </c>
      <c r="AG44" s="287">
        <f>VLOOKUP($AD44,'Look-ups'!$A$122:$G$130,7,FALSE)</f>
        <v>0.31030701754385964</v>
      </c>
      <c r="AH44" s="291">
        <f>VLOOKUP($AC44,'Look-ups'!$A$50:$AO$118,'Look-ups'!$B$133*4,FALSE)*0.277778</f>
        <v>110.95887229220909</v>
      </c>
      <c r="AI44" s="291">
        <f>VLOOKUP($AC44,'Look-ups'!$A$50:$AO$118,'Look-ups'!$B$133*4+1,FALSE)*0.277778</f>
        <v>12.930115707790923</v>
      </c>
      <c r="AJ44" s="291">
        <f>AE44*$AH44/'Look-ups'!$B$141</f>
        <v>12.007503236529336</v>
      </c>
      <c r="AK44" s="291">
        <f>AF44*$AH44/'Look-ups'!$B$140</f>
        <v>92.24906244553253</v>
      </c>
      <c r="AL44" s="291">
        <f>AG44*$AH44/'Look-ups'!$B$137</f>
        <v>6.55834604400484</v>
      </c>
      <c r="AM44" s="291">
        <f>AI44/'Look-ups'!$B$136</f>
        <v>2.722129622692826</v>
      </c>
      <c r="AN44" s="290">
        <f>AJ44*VLOOKUP($AD44,'Look-ups'!$A$123:$M$130,10,FALSE)</f>
        <v>3.2587029616914331</v>
      </c>
      <c r="AO44" s="290">
        <f>AK44*VLOOKUP($AD44,'Look-ups'!$A$123:$M$130,9,FALSE)</f>
        <v>10.637529316219188</v>
      </c>
      <c r="AP44" s="290">
        <f>(AL44+AM44)*VLOOKUP($AD44,'Look-ups'!$A$123:$M$130,8,FALSE)</f>
        <v>2.969752213343253</v>
      </c>
      <c r="AQ44" s="290">
        <f t="shared" si="0"/>
        <v>16.865984491253876</v>
      </c>
      <c r="AR44" s="292">
        <f>AJ44*VLOOKUP($AD44,'Look-ups'!$A$123:$M$130,11,FALSE)</f>
        <v>5.1873866450067335E-2</v>
      </c>
      <c r="AS44" s="292">
        <f>AK44*VLOOKUP($AD44,'Look-ups'!$A$123:$M$130,12,FALSE)</f>
        <v>17.113418251856903</v>
      </c>
      <c r="AT44" s="292">
        <f>(AL44+AM44)*VLOOKUP($AD44,'Look-ups'!$A$123:$M$130,13,FALSE)</f>
        <v>2.2755726334742676</v>
      </c>
      <c r="AU44" s="292">
        <f t="shared" si="1"/>
        <v>19.440864751781238</v>
      </c>
    </row>
    <row r="45" spans="1:49" x14ac:dyDescent="0.25">
      <c r="A45">
        <v>2004</v>
      </c>
      <c r="B45" t="s">
        <v>339</v>
      </c>
      <c r="C45">
        <v>287.44369999999901</v>
      </c>
      <c r="D45">
        <v>103034</v>
      </c>
      <c r="E45">
        <v>358.44932416330693</v>
      </c>
      <c r="F45" t="s">
        <v>172</v>
      </c>
      <c r="G45" t="s">
        <v>168</v>
      </c>
      <c r="H45">
        <f>VLOOKUP(CONCATENATE($G45,"-",$F45,"-",$H$2),'Look-ups'!$O$3:$S$34,5,FALSE)*VLOOKUP(CONCATENATE($F45,"-",$H$2,"-",H$3),'Look-ups'!$I$3:$M$24,5,FALSE)</f>
        <v>208</v>
      </c>
      <c r="I45">
        <f>VLOOKUP(CONCATENATE($G45,"-",$F45,"-",$H$2),'Look-ups'!$O$3:$S$34,5,FALSE)*VLOOKUP(CONCATENATE($F45,"-",$H$2,"-",I$3),'Look-ups'!$I$3:$M$24,5,FALSE)</f>
        <v>312</v>
      </c>
      <c r="J45">
        <f>VLOOKUP(CONCATENATE($G45,"-",$F45,"-",$H$2),'Look-ups'!$O$3:$S$34,5,FALSE)*VLOOKUP(CONCATENATE($F45,"-",$H$2,"-",J$3),'Look-ups'!$I$3:$M$24,5,FALSE)</f>
        <v>364</v>
      </c>
      <c r="K45">
        <f>VLOOKUP(CONCATENATE($G45,"-",$F45,"-",$H$2),'Look-ups'!$O$3:$S$34,5,FALSE)*VLOOKUP(CONCATENATE($F45,"-",$H$2,"-",K$3),'Look-ups'!$I$3:$M$24,5,FALSE)</f>
        <v>468</v>
      </c>
      <c r="L45">
        <f>VLOOKUP(CONCATENATE($G45,"-",$F45,"-",$H$2),'Look-ups'!$O$3:$S$34,5,FALSE)*VLOOKUP(CONCATENATE($F45,"-",$H$2,"-",L$3),'Look-ups'!$I$3:$M$24,5,FALSE)</f>
        <v>520</v>
      </c>
      <c r="M45">
        <f>VLOOKUP(CONCATENATE($G45,"-",$F45,"-",$H$2),'Look-ups'!$O$3:$S$34,5,FALSE)*VLOOKUP(CONCATENATE($F45,"-",$H$2,"-",M$3),'Look-ups'!$I$3:$M$24,5,FALSE)</f>
        <v>572</v>
      </c>
      <c r="N45">
        <f>VLOOKUP(CONCATENATE($G45,"-",$F45,"-",$N$2),'Look-ups'!$O$3:$S$34,5,FALSE)*VLOOKUP(CONCATENATE($F45,"-",$N$2,"-",N$3),'Look-ups'!$I$3:$M$24,5,FALSE)</f>
        <v>210</v>
      </c>
      <c r="O45">
        <f>VLOOKUP(CONCATENATE($G45,"-",$F45,"-",$N$2),'Look-ups'!$O$3:$S$34,5,FALSE)*VLOOKUP(CONCATENATE($F45,"-",$N$2,"-",O$3),'Look-ups'!$I$3:$M$24,5,FALSE)</f>
        <v>210</v>
      </c>
      <c r="P45">
        <f>VLOOKUP(CONCATENATE($G45,"-",$F45,"-",$N$2),'Look-ups'!$O$3:$S$34,5,FALSE)*VLOOKUP(CONCATENATE($F45,"-",$N$2,"-",P$3),'Look-ups'!$I$3:$M$24,5,FALSE)</f>
        <v>280</v>
      </c>
      <c r="Q45">
        <f>VLOOKUP(CONCATENATE($G45,"-",$F45,"-",$N$2),'Look-ups'!$O$3:$S$34,5,FALSE)*VLOOKUP(CONCATENATE($F45,"-",$N$2,"-",Q$3),'Look-ups'!$I$3:$M$24,5,FALSE)</f>
        <v>360</v>
      </c>
      <c r="R45">
        <f>VLOOKUP(CONCATENATE($G45,"-",$F45,"-",$N$2),'Look-ups'!$O$3:$S$34,5,FALSE)*VLOOKUP(CONCATENATE($F45,"-",$N$2,"-",R$3),'Look-ups'!$I$3:$M$24,5,FALSE)</f>
        <v>410</v>
      </c>
      <c r="S45" s="117">
        <f>VLOOKUP(CONCATENATE($G45,"-",$F45,"-Lone Person"),'Look-ups'!$Y$4:$AG$35,5,FALSE)</f>
        <v>94.160000000000011</v>
      </c>
      <c r="T45">
        <f>VLOOKUP(CONCATENATE($G45,"-",$F45,"-Lone Person"),'Look-ups'!$Y$4:$AG$35,6,FALSE)</f>
        <v>134.82000000000002</v>
      </c>
      <c r="U45">
        <f>VLOOKUP(CONCATENATE($G45,"-",$F45,"-Lone Person"),'Look-ups'!$Y$4:$AG$35,7,FALSE)</f>
        <v>161.57000000000002</v>
      </c>
      <c r="V45">
        <f>VLOOKUP(CONCATENATE($G45,"-",$F45,"-Lone Person"),'Look-ups'!$Y$4:$AG$35,8,FALSE)</f>
        <v>197.95000000000002</v>
      </c>
      <c r="W45">
        <f>VLOOKUP(CONCATENATE($G45,"-",$F45,"-Lone Person"),'Look-ups'!$Y$4:$AG$35,9,FALSE)</f>
        <v>188.32000000000002</v>
      </c>
      <c r="X45" s="117">
        <f>VLOOKUP(CONCATENATE($G45,"-",$F45,"-Couple Only"),'Look-ups'!$Y$4:$AG$35,5,FALSE)</f>
        <v>153.01000000000002</v>
      </c>
      <c r="Y45">
        <f>VLOOKUP(CONCATENATE($G45,"-",$F45,"-Couple Only"),'Look-ups'!$Y$4:$AG$35,6,FALSE)</f>
        <v>144.45000000000002</v>
      </c>
      <c r="Z45">
        <f>VLOOKUP(CONCATENATE($G45,"-",$F45,"-Couple Only"),'Look-ups'!$Y$4:$AG$35,7,FALSE)</f>
        <v>163.71</v>
      </c>
      <c r="AA45">
        <f>VLOOKUP(CONCATENATE($G45,"-",$F45,"-Couple Only"),'Look-ups'!$Y$4:$AG$35,8,FALSE)</f>
        <v>180.83</v>
      </c>
      <c r="AB45">
        <f>VLOOKUP(CONCATENATE($G45,"-",$F45,"-Couple Only"),'Look-ups'!$Y$4:$AG$35,9,FALSE)</f>
        <v>226.84</v>
      </c>
      <c r="AC45">
        <v>66</v>
      </c>
      <c r="AD45" t="s">
        <v>168</v>
      </c>
      <c r="AE45" s="287">
        <f>VLOOKUP($AD45,'Look-ups'!$A$122:$G$130,5,FALSE)</f>
        <v>8.2785087719298239E-2</v>
      </c>
      <c r="AF45" s="287">
        <f>VLOOKUP($AD45,'Look-ups'!$A$122:$G$130,6,FALSE)</f>
        <v>0.60690789473684215</v>
      </c>
      <c r="AG45" s="287">
        <f>VLOOKUP($AD45,'Look-ups'!$A$122:$G$130,7,FALSE)</f>
        <v>0.31030701754385964</v>
      </c>
      <c r="AH45" s="291">
        <f>VLOOKUP($AC45,'Look-ups'!$A$50:$AO$118,'Look-ups'!$B$133*4,FALSE)*0.277778</f>
        <v>110.95887229220909</v>
      </c>
      <c r="AI45" s="291">
        <f>VLOOKUP($AC45,'Look-ups'!$A$50:$AO$118,'Look-ups'!$B$133*4+1,FALSE)*0.277778</f>
        <v>12.930115707790923</v>
      </c>
      <c r="AJ45" s="291">
        <f>AE45*$AH45/'Look-ups'!$B$141</f>
        <v>12.007503236529336</v>
      </c>
      <c r="AK45" s="291">
        <f>AF45*$AH45/'Look-ups'!$B$140</f>
        <v>92.24906244553253</v>
      </c>
      <c r="AL45" s="291">
        <f>AG45*$AH45/'Look-ups'!$B$137</f>
        <v>6.55834604400484</v>
      </c>
      <c r="AM45" s="291">
        <f>AI45/'Look-ups'!$B$136</f>
        <v>2.722129622692826</v>
      </c>
      <c r="AN45" s="290">
        <f>AJ45*VLOOKUP($AD45,'Look-ups'!$A$123:$M$130,10,FALSE)</f>
        <v>3.2587029616914331</v>
      </c>
      <c r="AO45" s="290">
        <f>AK45*VLOOKUP($AD45,'Look-ups'!$A$123:$M$130,9,FALSE)</f>
        <v>10.637529316219188</v>
      </c>
      <c r="AP45" s="290">
        <f>(AL45+AM45)*VLOOKUP($AD45,'Look-ups'!$A$123:$M$130,8,FALSE)</f>
        <v>2.969752213343253</v>
      </c>
      <c r="AQ45" s="290">
        <f t="shared" si="0"/>
        <v>16.865984491253876</v>
      </c>
      <c r="AR45" s="292">
        <f>AJ45*VLOOKUP($AD45,'Look-ups'!$A$123:$M$130,11,FALSE)</f>
        <v>5.1873866450067335E-2</v>
      </c>
      <c r="AS45" s="292">
        <f>AK45*VLOOKUP($AD45,'Look-ups'!$A$123:$M$130,12,FALSE)</f>
        <v>17.113418251856903</v>
      </c>
      <c r="AT45" s="292">
        <f>(AL45+AM45)*VLOOKUP($AD45,'Look-ups'!$A$123:$M$130,13,FALSE)</f>
        <v>2.2755726334742676</v>
      </c>
      <c r="AU45" s="292">
        <f t="shared" si="1"/>
        <v>19.440864751781238</v>
      </c>
    </row>
    <row r="46" spans="1:49" x14ac:dyDescent="0.25">
      <c r="A46">
        <v>2005</v>
      </c>
      <c r="B46" t="s">
        <v>1007</v>
      </c>
      <c r="C46">
        <v>83.929100000000005</v>
      </c>
      <c r="D46">
        <v>11352</v>
      </c>
      <c r="E46">
        <v>135.25702050897721</v>
      </c>
      <c r="F46" t="s">
        <v>172</v>
      </c>
      <c r="G46" t="s">
        <v>168</v>
      </c>
      <c r="H46">
        <f>VLOOKUP(CONCATENATE($G46,"-",$F46,"-",$H$2),'Look-ups'!$O$3:$S$34,5,FALSE)*VLOOKUP(CONCATENATE($F46,"-",$H$2,"-",H$3),'Look-ups'!$I$3:$M$24,5,FALSE)</f>
        <v>208</v>
      </c>
      <c r="I46">
        <f>VLOOKUP(CONCATENATE($G46,"-",$F46,"-",$H$2),'Look-ups'!$O$3:$S$34,5,FALSE)*VLOOKUP(CONCATENATE($F46,"-",$H$2,"-",I$3),'Look-ups'!$I$3:$M$24,5,FALSE)</f>
        <v>312</v>
      </c>
      <c r="J46">
        <f>VLOOKUP(CONCATENATE($G46,"-",$F46,"-",$H$2),'Look-ups'!$O$3:$S$34,5,FALSE)*VLOOKUP(CONCATENATE($F46,"-",$H$2,"-",J$3),'Look-ups'!$I$3:$M$24,5,FALSE)</f>
        <v>364</v>
      </c>
      <c r="K46">
        <f>VLOOKUP(CONCATENATE($G46,"-",$F46,"-",$H$2),'Look-ups'!$O$3:$S$34,5,FALSE)*VLOOKUP(CONCATENATE($F46,"-",$H$2,"-",K$3),'Look-ups'!$I$3:$M$24,5,FALSE)</f>
        <v>468</v>
      </c>
      <c r="L46">
        <f>VLOOKUP(CONCATENATE($G46,"-",$F46,"-",$H$2),'Look-ups'!$O$3:$S$34,5,FALSE)*VLOOKUP(CONCATENATE($F46,"-",$H$2,"-",L$3),'Look-ups'!$I$3:$M$24,5,FALSE)</f>
        <v>520</v>
      </c>
      <c r="M46">
        <f>VLOOKUP(CONCATENATE($G46,"-",$F46,"-",$H$2),'Look-ups'!$O$3:$S$34,5,FALSE)*VLOOKUP(CONCATENATE($F46,"-",$H$2,"-",M$3),'Look-ups'!$I$3:$M$24,5,FALSE)</f>
        <v>572</v>
      </c>
      <c r="N46">
        <f>VLOOKUP(CONCATENATE($G46,"-",$F46,"-",$N$2),'Look-ups'!$O$3:$S$34,5,FALSE)*VLOOKUP(CONCATENATE($F46,"-",$N$2,"-",N$3),'Look-ups'!$I$3:$M$24,5,FALSE)</f>
        <v>210</v>
      </c>
      <c r="O46">
        <f>VLOOKUP(CONCATENATE($G46,"-",$F46,"-",$N$2),'Look-ups'!$O$3:$S$34,5,FALSE)*VLOOKUP(CONCATENATE($F46,"-",$N$2,"-",O$3),'Look-ups'!$I$3:$M$24,5,FALSE)</f>
        <v>210</v>
      </c>
      <c r="P46">
        <f>VLOOKUP(CONCATENATE($G46,"-",$F46,"-",$N$2),'Look-ups'!$O$3:$S$34,5,FALSE)*VLOOKUP(CONCATENATE($F46,"-",$N$2,"-",P$3),'Look-ups'!$I$3:$M$24,5,FALSE)</f>
        <v>280</v>
      </c>
      <c r="Q46">
        <f>VLOOKUP(CONCATENATE($G46,"-",$F46,"-",$N$2),'Look-ups'!$O$3:$S$34,5,FALSE)*VLOOKUP(CONCATENATE($F46,"-",$N$2,"-",Q$3),'Look-ups'!$I$3:$M$24,5,FALSE)</f>
        <v>360</v>
      </c>
      <c r="R46">
        <f>VLOOKUP(CONCATENATE($G46,"-",$F46,"-",$N$2),'Look-ups'!$O$3:$S$34,5,FALSE)*VLOOKUP(CONCATENATE($F46,"-",$N$2,"-",R$3),'Look-ups'!$I$3:$M$24,5,FALSE)</f>
        <v>410</v>
      </c>
      <c r="S46" s="117">
        <f>VLOOKUP(CONCATENATE($G46,"-",$F46,"-Lone Person"),'Look-ups'!$Y$4:$AG$35,5,FALSE)</f>
        <v>94.160000000000011</v>
      </c>
      <c r="T46">
        <f>VLOOKUP(CONCATENATE($G46,"-",$F46,"-Lone Person"),'Look-ups'!$Y$4:$AG$35,6,FALSE)</f>
        <v>134.82000000000002</v>
      </c>
      <c r="U46">
        <f>VLOOKUP(CONCATENATE($G46,"-",$F46,"-Lone Person"),'Look-ups'!$Y$4:$AG$35,7,FALSE)</f>
        <v>161.57000000000002</v>
      </c>
      <c r="V46">
        <f>VLOOKUP(CONCATENATE($G46,"-",$F46,"-Lone Person"),'Look-ups'!$Y$4:$AG$35,8,FALSE)</f>
        <v>197.95000000000002</v>
      </c>
      <c r="W46">
        <f>VLOOKUP(CONCATENATE($G46,"-",$F46,"-Lone Person"),'Look-ups'!$Y$4:$AG$35,9,FALSE)</f>
        <v>188.32000000000002</v>
      </c>
      <c r="X46" s="117">
        <f>VLOOKUP(CONCATENATE($G46,"-",$F46,"-Couple Only"),'Look-ups'!$Y$4:$AG$35,5,FALSE)</f>
        <v>153.01000000000002</v>
      </c>
      <c r="Y46">
        <f>VLOOKUP(CONCATENATE($G46,"-",$F46,"-Couple Only"),'Look-ups'!$Y$4:$AG$35,6,FALSE)</f>
        <v>144.45000000000002</v>
      </c>
      <c r="Z46">
        <f>VLOOKUP(CONCATENATE($G46,"-",$F46,"-Couple Only"),'Look-ups'!$Y$4:$AG$35,7,FALSE)</f>
        <v>163.71</v>
      </c>
      <c r="AA46">
        <f>VLOOKUP(CONCATENATE($G46,"-",$F46,"-Couple Only"),'Look-ups'!$Y$4:$AG$35,8,FALSE)</f>
        <v>180.83</v>
      </c>
      <c r="AB46">
        <f>VLOOKUP(CONCATENATE($G46,"-",$F46,"-Couple Only"),'Look-ups'!$Y$4:$AG$35,9,FALSE)</f>
        <v>226.84</v>
      </c>
      <c r="AC46">
        <v>66</v>
      </c>
      <c r="AD46" t="s">
        <v>168</v>
      </c>
      <c r="AE46" s="287">
        <f>VLOOKUP($AD46,'Look-ups'!$A$122:$G$130,5,FALSE)</f>
        <v>8.2785087719298239E-2</v>
      </c>
      <c r="AF46" s="287">
        <f>VLOOKUP($AD46,'Look-ups'!$A$122:$G$130,6,FALSE)</f>
        <v>0.60690789473684215</v>
      </c>
      <c r="AG46" s="287">
        <f>VLOOKUP($AD46,'Look-ups'!$A$122:$G$130,7,FALSE)</f>
        <v>0.31030701754385964</v>
      </c>
      <c r="AH46" s="291">
        <f>VLOOKUP($AC46,'Look-ups'!$A$50:$AO$118,'Look-ups'!$B$133*4,FALSE)*0.277778</f>
        <v>110.95887229220909</v>
      </c>
      <c r="AI46" s="291">
        <f>VLOOKUP($AC46,'Look-ups'!$A$50:$AO$118,'Look-ups'!$B$133*4+1,FALSE)*0.277778</f>
        <v>12.930115707790923</v>
      </c>
      <c r="AJ46" s="291">
        <f>AE46*$AH46/'Look-ups'!$B$141</f>
        <v>12.007503236529336</v>
      </c>
      <c r="AK46" s="291">
        <f>AF46*$AH46/'Look-ups'!$B$140</f>
        <v>92.24906244553253</v>
      </c>
      <c r="AL46" s="291">
        <f>AG46*$AH46/'Look-ups'!$B$137</f>
        <v>6.55834604400484</v>
      </c>
      <c r="AM46" s="291">
        <f>AI46/'Look-ups'!$B$136</f>
        <v>2.722129622692826</v>
      </c>
      <c r="AN46" s="290">
        <f>AJ46*VLOOKUP($AD46,'Look-ups'!$A$123:$M$130,10,FALSE)</f>
        <v>3.2587029616914331</v>
      </c>
      <c r="AO46" s="290">
        <f>AK46*VLOOKUP($AD46,'Look-ups'!$A$123:$M$130,9,FALSE)</f>
        <v>10.637529316219188</v>
      </c>
      <c r="AP46" s="290">
        <f>(AL46+AM46)*VLOOKUP($AD46,'Look-ups'!$A$123:$M$130,8,FALSE)</f>
        <v>2.969752213343253</v>
      </c>
      <c r="AQ46" s="290">
        <f t="shared" si="0"/>
        <v>16.865984491253876</v>
      </c>
      <c r="AR46" s="292">
        <f>AJ46*VLOOKUP($AD46,'Look-ups'!$A$123:$M$130,11,FALSE)</f>
        <v>5.1873866450067335E-2</v>
      </c>
      <c r="AS46" s="292">
        <f>AK46*VLOOKUP($AD46,'Look-ups'!$A$123:$M$130,12,FALSE)</f>
        <v>17.113418251856903</v>
      </c>
      <c r="AT46" s="292">
        <f>(AL46+AM46)*VLOOKUP($AD46,'Look-ups'!$A$123:$M$130,13,FALSE)</f>
        <v>2.2755726334742676</v>
      </c>
      <c r="AU46" s="292">
        <f t="shared" si="1"/>
        <v>19.440864751781238</v>
      </c>
    </row>
    <row r="47" spans="1:49" x14ac:dyDescent="0.25">
      <c r="A47">
        <v>2006</v>
      </c>
      <c r="B47" t="s">
        <v>340</v>
      </c>
      <c r="C47">
        <v>54.734400000000001</v>
      </c>
      <c r="D47">
        <v>12756</v>
      </c>
      <c r="E47">
        <v>233.05270542839602</v>
      </c>
      <c r="F47" t="s">
        <v>172</v>
      </c>
      <c r="G47" t="s">
        <v>168</v>
      </c>
      <c r="H47">
        <f>VLOOKUP(CONCATENATE($G47,"-",$F47,"-",$H$2),'Look-ups'!$O$3:$S$34,5,FALSE)*VLOOKUP(CONCATENATE($F47,"-",$H$2,"-",H$3),'Look-ups'!$I$3:$M$24,5,FALSE)</f>
        <v>208</v>
      </c>
      <c r="I47">
        <f>VLOOKUP(CONCATENATE($G47,"-",$F47,"-",$H$2),'Look-ups'!$O$3:$S$34,5,FALSE)*VLOOKUP(CONCATENATE($F47,"-",$H$2,"-",I$3),'Look-ups'!$I$3:$M$24,5,FALSE)</f>
        <v>312</v>
      </c>
      <c r="J47">
        <f>VLOOKUP(CONCATENATE($G47,"-",$F47,"-",$H$2),'Look-ups'!$O$3:$S$34,5,FALSE)*VLOOKUP(CONCATENATE($F47,"-",$H$2,"-",J$3),'Look-ups'!$I$3:$M$24,5,FALSE)</f>
        <v>364</v>
      </c>
      <c r="K47">
        <f>VLOOKUP(CONCATENATE($G47,"-",$F47,"-",$H$2),'Look-ups'!$O$3:$S$34,5,FALSE)*VLOOKUP(CONCATENATE($F47,"-",$H$2,"-",K$3),'Look-ups'!$I$3:$M$24,5,FALSE)</f>
        <v>468</v>
      </c>
      <c r="L47">
        <f>VLOOKUP(CONCATENATE($G47,"-",$F47,"-",$H$2),'Look-ups'!$O$3:$S$34,5,FALSE)*VLOOKUP(CONCATENATE($F47,"-",$H$2,"-",L$3),'Look-ups'!$I$3:$M$24,5,FALSE)</f>
        <v>520</v>
      </c>
      <c r="M47">
        <f>VLOOKUP(CONCATENATE($G47,"-",$F47,"-",$H$2),'Look-ups'!$O$3:$S$34,5,FALSE)*VLOOKUP(CONCATENATE($F47,"-",$H$2,"-",M$3),'Look-ups'!$I$3:$M$24,5,FALSE)</f>
        <v>572</v>
      </c>
      <c r="N47">
        <f>VLOOKUP(CONCATENATE($G47,"-",$F47,"-",$N$2),'Look-ups'!$O$3:$S$34,5,FALSE)*VLOOKUP(CONCATENATE($F47,"-",$N$2,"-",N$3),'Look-ups'!$I$3:$M$24,5,FALSE)</f>
        <v>210</v>
      </c>
      <c r="O47">
        <f>VLOOKUP(CONCATENATE($G47,"-",$F47,"-",$N$2),'Look-ups'!$O$3:$S$34,5,FALSE)*VLOOKUP(CONCATENATE($F47,"-",$N$2,"-",O$3),'Look-ups'!$I$3:$M$24,5,FALSE)</f>
        <v>210</v>
      </c>
      <c r="P47">
        <f>VLOOKUP(CONCATENATE($G47,"-",$F47,"-",$N$2),'Look-ups'!$O$3:$S$34,5,FALSE)*VLOOKUP(CONCATENATE($F47,"-",$N$2,"-",P$3),'Look-ups'!$I$3:$M$24,5,FALSE)</f>
        <v>280</v>
      </c>
      <c r="Q47">
        <f>VLOOKUP(CONCATENATE($G47,"-",$F47,"-",$N$2),'Look-ups'!$O$3:$S$34,5,FALSE)*VLOOKUP(CONCATENATE($F47,"-",$N$2,"-",Q$3),'Look-ups'!$I$3:$M$24,5,FALSE)</f>
        <v>360</v>
      </c>
      <c r="R47">
        <f>VLOOKUP(CONCATENATE($G47,"-",$F47,"-",$N$2),'Look-ups'!$O$3:$S$34,5,FALSE)*VLOOKUP(CONCATENATE($F47,"-",$N$2,"-",R$3),'Look-ups'!$I$3:$M$24,5,FALSE)</f>
        <v>410</v>
      </c>
      <c r="S47" s="117">
        <f>VLOOKUP(CONCATENATE($G47,"-",$F47,"-Lone Person"),'Look-ups'!$Y$4:$AG$35,5,FALSE)</f>
        <v>94.160000000000011</v>
      </c>
      <c r="T47">
        <f>VLOOKUP(CONCATENATE($G47,"-",$F47,"-Lone Person"),'Look-ups'!$Y$4:$AG$35,6,FALSE)</f>
        <v>134.82000000000002</v>
      </c>
      <c r="U47">
        <f>VLOOKUP(CONCATENATE($G47,"-",$F47,"-Lone Person"),'Look-ups'!$Y$4:$AG$35,7,FALSE)</f>
        <v>161.57000000000002</v>
      </c>
      <c r="V47">
        <f>VLOOKUP(CONCATENATE($G47,"-",$F47,"-Lone Person"),'Look-ups'!$Y$4:$AG$35,8,FALSE)</f>
        <v>197.95000000000002</v>
      </c>
      <c r="W47">
        <f>VLOOKUP(CONCATENATE($G47,"-",$F47,"-Lone Person"),'Look-ups'!$Y$4:$AG$35,9,FALSE)</f>
        <v>188.32000000000002</v>
      </c>
      <c r="X47" s="117">
        <f>VLOOKUP(CONCATENATE($G47,"-",$F47,"-Couple Only"),'Look-ups'!$Y$4:$AG$35,5,FALSE)</f>
        <v>153.01000000000002</v>
      </c>
      <c r="Y47">
        <f>VLOOKUP(CONCATENATE($G47,"-",$F47,"-Couple Only"),'Look-ups'!$Y$4:$AG$35,6,FALSE)</f>
        <v>144.45000000000002</v>
      </c>
      <c r="Z47">
        <f>VLOOKUP(CONCATENATE($G47,"-",$F47,"-Couple Only"),'Look-ups'!$Y$4:$AG$35,7,FALSE)</f>
        <v>163.71</v>
      </c>
      <c r="AA47">
        <f>VLOOKUP(CONCATENATE($G47,"-",$F47,"-Couple Only"),'Look-ups'!$Y$4:$AG$35,8,FALSE)</f>
        <v>180.83</v>
      </c>
      <c r="AB47">
        <f>VLOOKUP(CONCATENATE($G47,"-",$F47,"-Couple Only"),'Look-ups'!$Y$4:$AG$35,9,FALSE)</f>
        <v>226.84</v>
      </c>
      <c r="AC47">
        <v>64</v>
      </c>
      <c r="AD47" t="s">
        <v>168</v>
      </c>
      <c r="AE47" s="287">
        <f>VLOOKUP($AD47,'Look-ups'!$A$122:$G$130,5,FALSE)</f>
        <v>8.2785087719298239E-2</v>
      </c>
      <c r="AF47" s="287">
        <f>VLOOKUP($AD47,'Look-ups'!$A$122:$G$130,6,FALSE)</f>
        <v>0.60690789473684215</v>
      </c>
      <c r="AG47" s="287">
        <f>VLOOKUP($AD47,'Look-ups'!$A$122:$G$130,7,FALSE)</f>
        <v>0.31030701754385964</v>
      </c>
      <c r="AH47" s="291">
        <f>VLOOKUP($AC47,'Look-ups'!$A$50:$AO$118,'Look-ups'!$B$133*4,FALSE)*0.277778</f>
        <v>72.257184673081767</v>
      </c>
      <c r="AI47" s="291">
        <f>VLOOKUP($AC47,'Look-ups'!$A$50:$AO$118,'Look-ups'!$B$133*4+1,FALSE)*0.277778</f>
        <v>6.9095453269182308</v>
      </c>
      <c r="AJ47" s="291">
        <f>AE47*$AH47/'Look-ups'!$B$141</f>
        <v>7.8193691130857612</v>
      </c>
      <c r="AK47" s="291">
        <f>AF47*$AH47/'Look-ups'!$B$140</f>
        <v>60.07322716376887</v>
      </c>
      <c r="AL47" s="291">
        <f>AG47*$AH47/'Look-ups'!$B$137</f>
        <v>4.270840280384741</v>
      </c>
      <c r="AM47" s="291">
        <f>AI47/'Look-ups'!$B$136</f>
        <v>1.4546411214564696</v>
      </c>
      <c r="AN47" s="290">
        <f>AJ47*VLOOKUP($AD47,'Look-ups'!$A$123:$M$130,10,FALSE)</f>
        <v>2.122089895412441</v>
      </c>
      <c r="AO47" s="290">
        <f>AK47*VLOOKUP($AD47,'Look-ups'!$A$123:$M$130,9,FALSE)</f>
        <v>6.927232625825277</v>
      </c>
      <c r="AP47" s="290">
        <f>(AL47+AM47)*VLOOKUP($AD47,'Look-ups'!$A$123:$M$130,8,FALSE)</f>
        <v>1.8321540485891874</v>
      </c>
      <c r="AQ47" s="290">
        <f t="shared" si="0"/>
        <v>10.881476569826905</v>
      </c>
      <c r="AR47" s="292">
        <f>AJ47*VLOOKUP($AD47,'Look-ups'!$A$123:$M$130,11,FALSE)</f>
        <v>3.3780620425902415E-2</v>
      </c>
      <c r="AS47" s="292">
        <f>AK47*VLOOKUP($AD47,'Look-ups'!$A$123:$M$130,12,FALSE)</f>
        <v>11.14437626723192</v>
      </c>
      <c r="AT47" s="292">
        <f>(AL47+AM47)*VLOOKUP($AD47,'Look-ups'!$A$123:$M$130,13,FALSE)</f>
        <v>1.4038880397314648</v>
      </c>
      <c r="AU47" s="292">
        <f t="shared" si="1"/>
        <v>12.582044927389287</v>
      </c>
    </row>
    <row r="48" spans="1:49" x14ac:dyDescent="0.25">
      <c r="A48">
        <v>2007</v>
      </c>
      <c r="B48" t="s">
        <v>341</v>
      </c>
      <c r="C48">
        <v>350.95999999999901</v>
      </c>
      <c r="D48">
        <v>22568</v>
      </c>
      <c r="E48">
        <v>64.303624344654835</v>
      </c>
      <c r="F48" t="s">
        <v>172</v>
      </c>
      <c r="G48" t="s">
        <v>168</v>
      </c>
      <c r="H48">
        <f>VLOOKUP(CONCATENATE($G48,"-",$F48,"-",$H$2),'Look-ups'!$O$3:$S$34,5,FALSE)*VLOOKUP(CONCATENATE($F48,"-",$H$2,"-",H$3),'Look-ups'!$I$3:$M$24,5,FALSE)</f>
        <v>208</v>
      </c>
      <c r="I48">
        <f>VLOOKUP(CONCATENATE($G48,"-",$F48,"-",$H$2),'Look-ups'!$O$3:$S$34,5,FALSE)*VLOOKUP(CONCATENATE($F48,"-",$H$2,"-",I$3),'Look-ups'!$I$3:$M$24,5,FALSE)</f>
        <v>312</v>
      </c>
      <c r="J48">
        <f>VLOOKUP(CONCATENATE($G48,"-",$F48,"-",$H$2),'Look-ups'!$O$3:$S$34,5,FALSE)*VLOOKUP(CONCATENATE($F48,"-",$H$2,"-",J$3),'Look-ups'!$I$3:$M$24,5,FALSE)</f>
        <v>364</v>
      </c>
      <c r="K48">
        <f>VLOOKUP(CONCATENATE($G48,"-",$F48,"-",$H$2),'Look-ups'!$O$3:$S$34,5,FALSE)*VLOOKUP(CONCATENATE($F48,"-",$H$2,"-",K$3),'Look-ups'!$I$3:$M$24,5,FALSE)</f>
        <v>468</v>
      </c>
      <c r="L48">
        <f>VLOOKUP(CONCATENATE($G48,"-",$F48,"-",$H$2),'Look-ups'!$O$3:$S$34,5,FALSE)*VLOOKUP(CONCATENATE($F48,"-",$H$2,"-",L$3),'Look-ups'!$I$3:$M$24,5,FALSE)</f>
        <v>520</v>
      </c>
      <c r="M48">
        <f>VLOOKUP(CONCATENATE($G48,"-",$F48,"-",$H$2),'Look-ups'!$O$3:$S$34,5,FALSE)*VLOOKUP(CONCATENATE($F48,"-",$H$2,"-",M$3),'Look-ups'!$I$3:$M$24,5,FALSE)</f>
        <v>572</v>
      </c>
      <c r="N48">
        <f>VLOOKUP(CONCATENATE($G48,"-",$F48,"-",$N$2),'Look-ups'!$O$3:$S$34,5,FALSE)*VLOOKUP(CONCATENATE($F48,"-",$N$2,"-",N$3),'Look-ups'!$I$3:$M$24,5,FALSE)</f>
        <v>210</v>
      </c>
      <c r="O48">
        <f>VLOOKUP(CONCATENATE($G48,"-",$F48,"-",$N$2),'Look-ups'!$O$3:$S$34,5,FALSE)*VLOOKUP(CONCATENATE($F48,"-",$N$2,"-",O$3),'Look-ups'!$I$3:$M$24,5,FALSE)</f>
        <v>210</v>
      </c>
      <c r="P48">
        <f>VLOOKUP(CONCATENATE($G48,"-",$F48,"-",$N$2),'Look-ups'!$O$3:$S$34,5,FALSE)*VLOOKUP(CONCATENATE($F48,"-",$N$2,"-",P$3),'Look-ups'!$I$3:$M$24,5,FALSE)</f>
        <v>280</v>
      </c>
      <c r="Q48">
        <f>VLOOKUP(CONCATENATE($G48,"-",$F48,"-",$N$2),'Look-ups'!$O$3:$S$34,5,FALSE)*VLOOKUP(CONCATENATE($F48,"-",$N$2,"-",Q$3),'Look-ups'!$I$3:$M$24,5,FALSE)</f>
        <v>360</v>
      </c>
      <c r="R48">
        <f>VLOOKUP(CONCATENATE($G48,"-",$F48,"-",$N$2),'Look-ups'!$O$3:$S$34,5,FALSE)*VLOOKUP(CONCATENATE($F48,"-",$N$2,"-",R$3),'Look-ups'!$I$3:$M$24,5,FALSE)</f>
        <v>410</v>
      </c>
      <c r="S48" s="117">
        <f>VLOOKUP(CONCATENATE($G48,"-",$F48,"-Lone Person"),'Look-ups'!$Y$4:$AG$35,5,FALSE)</f>
        <v>94.160000000000011</v>
      </c>
      <c r="T48">
        <f>VLOOKUP(CONCATENATE($G48,"-",$F48,"-Lone Person"),'Look-ups'!$Y$4:$AG$35,6,FALSE)</f>
        <v>134.82000000000002</v>
      </c>
      <c r="U48">
        <f>VLOOKUP(CONCATENATE($G48,"-",$F48,"-Lone Person"),'Look-ups'!$Y$4:$AG$35,7,FALSE)</f>
        <v>161.57000000000002</v>
      </c>
      <c r="V48">
        <f>VLOOKUP(CONCATENATE($G48,"-",$F48,"-Lone Person"),'Look-ups'!$Y$4:$AG$35,8,FALSE)</f>
        <v>197.95000000000002</v>
      </c>
      <c r="W48">
        <f>VLOOKUP(CONCATENATE($G48,"-",$F48,"-Lone Person"),'Look-ups'!$Y$4:$AG$35,9,FALSE)</f>
        <v>188.32000000000002</v>
      </c>
      <c r="X48" s="117">
        <f>VLOOKUP(CONCATENATE($G48,"-",$F48,"-Couple Only"),'Look-ups'!$Y$4:$AG$35,5,FALSE)</f>
        <v>153.01000000000002</v>
      </c>
      <c r="Y48">
        <f>VLOOKUP(CONCATENATE($G48,"-",$F48,"-Couple Only"),'Look-ups'!$Y$4:$AG$35,6,FALSE)</f>
        <v>144.45000000000002</v>
      </c>
      <c r="Z48">
        <f>VLOOKUP(CONCATENATE($G48,"-",$F48,"-Couple Only"),'Look-ups'!$Y$4:$AG$35,7,FALSE)</f>
        <v>163.71</v>
      </c>
      <c r="AA48">
        <f>VLOOKUP(CONCATENATE($G48,"-",$F48,"-Couple Only"),'Look-ups'!$Y$4:$AG$35,8,FALSE)</f>
        <v>180.83</v>
      </c>
      <c r="AB48">
        <f>VLOOKUP(CONCATENATE($G48,"-",$F48,"-Couple Only"),'Look-ups'!$Y$4:$AG$35,9,FALSE)</f>
        <v>226.84</v>
      </c>
      <c r="AC48">
        <v>66</v>
      </c>
      <c r="AD48" t="s">
        <v>168</v>
      </c>
      <c r="AE48" s="287">
        <f>VLOOKUP($AD48,'Look-ups'!$A$122:$G$130,5,FALSE)</f>
        <v>8.2785087719298239E-2</v>
      </c>
      <c r="AF48" s="287">
        <f>VLOOKUP($AD48,'Look-ups'!$A$122:$G$130,6,FALSE)</f>
        <v>0.60690789473684215</v>
      </c>
      <c r="AG48" s="287">
        <f>VLOOKUP($AD48,'Look-ups'!$A$122:$G$130,7,FALSE)</f>
        <v>0.31030701754385964</v>
      </c>
      <c r="AH48" s="291">
        <f>VLOOKUP($AC48,'Look-ups'!$A$50:$AO$118,'Look-ups'!$B$133*4,FALSE)*0.277778</f>
        <v>110.95887229220909</v>
      </c>
      <c r="AI48" s="291">
        <f>VLOOKUP($AC48,'Look-ups'!$A$50:$AO$118,'Look-ups'!$B$133*4+1,FALSE)*0.277778</f>
        <v>12.930115707790923</v>
      </c>
      <c r="AJ48" s="291">
        <f>AE48*$AH48/'Look-ups'!$B$141</f>
        <v>12.007503236529336</v>
      </c>
      <c r="AK48" s="291">
        <f>AF48*$AH48/'Look-ups'!$B$140</f>
        <v>92.24906244553253</v>
      </c>
      <c r="AL48" s="291">
        <f>AG48*$AH48/'Look-ups'!$B$137</f>
        <v>6.55834604400484</v>
      </c>
      <c r="AM48" s="291">
        <f>AI48/'Look-ups'!$B$136</f>
        <v>2.722129622692826</v>
      </c>
      <c r="AN48" s="290">
        <f>AJ48*VLOOKUP($AD48,'Look-ups'!$A$123:$M$130,10,FALSE)</f>
        <v>3.2587029616914331</v>
      </c>
      <c r="AO48" s="290">
        <f>AK48*VLOOKUP($AD48,'Look-ups'!$A$123:$M$130,9,FALSE)</f>
        <v>10.637529316219188</v>
      </c>
      <c r="AP48" s="290">
        <f>(AL48+AM48)*VLOOKUP($AD48,'Look-ups'!$A$123:$M$130,8,FALSE)</f>
        <v>2.969752213343253</v>
      </c>
      <c r="AQ48" s="290">
        <f t="shared" si="0"/>
        <v>16.865984491253876</v>
      </c>
      <c r="AR48" s="292">
        <f>AJ48*VLOOKUP($AD48,'Look-ups'!$A$123:$M$130,11,FALSE)</f>
        <v>5.1873866450067335E-2</v>
      </c>
      <c r="AS48" s="292">
        <f>AK48*VLOOKUP($AD48,'Look-ups'!$A$123:$M$130,12,FALSE)</f>
        <v>17.113418251856903</v>
      </c>
      <c r="AT48" s="292">
        <f>(AL48+AM48)*VLOOKUP($AD48,'Look-ups'!$A$123:$M$130,13,FALSE)</f>
        <v>2.2755726334742676</v>
      </c>
      <c r="AU48" s="292">
        <f t="shared" si="1"/>
        <v>19.440864751781238</v>
      </c>
    </row>
    <row r="49" spans="1:47" x14ac:dyDescent="0.25">
      <c r="A49">
        <v>2008</v>
      </c>
      <c r="B49" t="s">
        <v>342</v>
      </c>
      <c r="C49">
        <v>1329.0133000000001</v>
      </c>
      <c r="D49">
        <v>289630</v>
      </c>
      <c r="E49">
        <v>217.92859409307641</v>
      </c>
      <c r="F49" t="s">
        <v>172</v>
      </c>
      <c r="G49" t="s">
        <v>168</v>
      </c>
      <c r="H49">
        <f>VLOOKUP(CONCATENATE($G49,"-",$F49,"-",$H$2),'Look-ups'!$O$3:$S$34,5,FALSE)*VLOOKUP(CONCATENATE($F49,"-",$H$2,"-",H$3),'Look-ups'!$I$3:$M$24,5,FALSE)</f>
        <v>208</v>
      </c>
      <c r="I49">
        <f>VLOOKUP(CONCATENATE($G49,"-",$F49,"-",$H$2),'Look-ups'!$O$3:$S$34,5,FALSE)*VLOOKUP(CONCATENATE($F49,"-",$H$2,"-",I$3),'Look-ups'!$I$3:$M$24,5,FALSE)</f>
        <v>312</v>
      </c>
      <c r="J49">
        <f>VLOOKUP(CONCATENATE($G49,"-",$F49,"-",$H$2),'Look-ups'!$O$3:$S$34,5,FALSE)*VLOOKUP(CONCATENATE($F49,"-",$H$2,"-",J$3),'Look-ups'!$I$3:$M$24,5,FALSE)</f>
        <v>364</v>
      </c>
      <c r="K49">
        <f>VLOOKUP(CONCATENATE($G49,"-",$F49,"-",$H$2),'Look-ups'!$O$3:$S$34,5,FALSE)*VLOOKUP(CONCATENATE($F49,"-",$H$2,"-",K$3),'Look-ups'!$I$3:$M$24,5,FALSE)</f>
        <v>468</v>
      </c>
      <c r="L49">
        <f>VLOOKUP(CONCATENATE($G49,"-",$F49,"-",$H$2),'Look-ups'!$O$3:$S$34,5,FALSE)*VLOOKUP(CONCATENATE($F49,"-",$H$2,"-",L$3),'Look-ups'!$I$3:$M$24,5,FALSE)</f>
        <v>520</v>
      </c>
      <c r="M49">
        <f>VLOOKUP(CONCATENATE($G49,"-",$F49,"-",$H$2),'Look-ups'!$O$3:$S$34,5,FALSE)*VLOOKUP(CONCATENATE($F49,"-",$H$2,"-",M$3),'Look-ups'!$I$3:$M$24,5,FALSE)</f>
        <v>572</v>
      </c>
      <c r="N49">
        <f>VLOOKUP(CONCATENATE($G49,"-",$F49,"-",$N$2),'Look-ups'!$O$3:$S$34,5,FALSE)*VLOOKUP(CONCATENATE($F49,"-",$N$2,"-",N$3),'Look-ups'!$I$3:$M$24,5,FALSE)</f>
        <v>210</v>
      </c>
      <c r="O49">
        <f>VLOOKUP(CONCATENATE($G49,"-",$F49,"-",$N$2),'Look-ups'!$O$3:$S$34,5,FALSE)*VLOOKUP(CONCATENATE($F49,"-",$N$2,"-",O$3),'Look-ups'!$I$3:$M$24,5,FALSE)</f>
        <v>210</v>
      </c>
      <c r="P49">
        <f>VLOOKUP(CONCATENATE($G49,"-",$F49,"-",$N$2),'Look-ups'!$O$3:$S$34,5,FALSE)*VLOOKUP(CONCATENATE($F49,"-",$N$2,"-",P$3),'Look-ups'!$I$3:$M$24,5,FALSE)</f>
        <v>280</v>
      </c>
      <c r="Q49">
        <f>VLOOKUP(CONCATENATE($G49,"-",$F49,"-",$N$2),'Look-ups'!$O$3:$S$34,5,FALSE)*VLOOKUP(CONCATENATE($F49,"-",$N$2,"-",Q$3),'Look-ups'!$I$3:$M$24,5,FALSE)</f>
        <v>360</v>
      </c>
      <c r="R49">
        <f>VLOOKUP(CONCATENATE($G49,"-",$F49,"-",$N$2),'Look-ups'!$O$3:$S$34,5,FALSE)*VLOOKUP(CONCATENATE($F49,"-",$N$2,"-",R$3),'Look-ups'!$I$3:$M$24,5,FALSE)</f>
        <v>410</v>
      </c>
      <c r="S49" s="117">
        <f>VLOOKUP(CONCATENATE($G49,"-",$F49,"-Lone Person"),'Look-ups'!$Y$4:$AG$35,5,FALSE)</f>
        <v>94.160000000000011</v>
      </c>
      <c r="T49">
        <f>VLOOKUP(CONCATENATE($G49,"-",$F49,"-Lone Person"),'Look-ups'!$Y$4:$AG$35,6,FALSE)</f>
        <v>134.82000000000002</v>
      </c>
      <c r="U49">
        <f>VLOOKUP(CONCATENATE($G49,"-",$F49,"-Lone Person"),'Look-ups'!$Y$4:$AG$35,7,FALSE)</f>
        <v>161.57000000000002</v>
      </c>
      <c r="V49">
        <f>VLOOKUP(CONCATENATE($G49,"-",$F49,"-Lone Person"),'Look-ups'!$Y$4:$AG$35,8,FALSE)</f>
        <v>197.95000000000002</v>
      </c>
      <c r="W49">
        <f>VLOOKUP(CONCATENATE($G49,"-",$F49,"-Lone Person"),'Look-ups'!$Y$4:$AG$35,9,FALSE)</f>
        <v>188.32000000000002</v>
      </c>
      <c r="X49" s="117">
        <f>VLOOKUP(CONCATENATE($G49,"-",$F49,"-Couple Only"),'Look-ups'!$Y$4:$AG$35,5,FALSE)</f>
        <v>153.01000000000002</v>
      </c>
      <c r="Y49">
        <f>VLOOKUP(CONCATENATE($G49,"-",$F49,"-Couple Only"),'Look-ups'!$Y$4:$AG$35,6,FALSE)</f>
        <v>144.45000000000002</v>
      </c>
      <c r="Z49">
        <f>VLOOKUP(CONCATENATE($G49,"-",$F49,"-Couple Only"),'Look-ups'!$Y$4:$AG$35,7,FALSE)</f>
        <v>163.71</v>
      </c>
      <c r="AA49">
        <f>VLOOKUP(CONCATENATE($G49,"-",$F49,"-Couple Only"),'Look-ups'!$Y$4:$AG$35,8,FALSE)</f>
        <v>180.83</v>
      </c>
      <c r="AB49">
        <f>VLOOKUP(CONCATENATE($G49,"-",$F49,"-Couple Only"),'Look-ups'!$Y$4:$AG$35,9,FALSE)</f>
        <v>226.84</v>
      </c>
      <c r="AC49">
        <v>60</v>
      </c>
      <c r="AD49" t="s">
        <v>168</v>
      </c>
      <c r="AE49" s="287">
        <f>VLOOKUP($AD49,'Look-ups'!$A$122:$G$130,5,FALSE)</f>
        <v>8.2785087719298239E-2</v>
      </c>
      <c r="AF49" s="287">
        <f>VLOOKUP($AD49,'Look-ups'!$A$122:$G$130,6,FALSE)</f>
        <v>0.60690789473684215</v>
      </c>
      <c r="AG49" s="287">
        <f>VLOOKUP($AD49,'Look-ups'!$A$122:$G$130,7,FALSE)</f>
        <v>0.31030701754385964</v>
      </c>
      <c r="AH49" s="291">
        <f>VLOOKUP($AC49,'Look-ups'!$A$50:$AO$118,'Look-ups'!$B$133*4,FALSE)*0.277778</f>
        <v>64.505164090737964</v>
      </c>
      <c r="AI49" s="291">
        <f>VLOOKUP($AC49,'Look-ups'!$A$50:$AO$118,'Look-ups'!$B$133*4+1,FALSE)*0.277778</f>
        <v>12.994897909262034</v>
      </c>
      <c r="AJ49" s="291">
        <f>AE49*$AH49/'Look-ups'!$B$141</f>
        <v>6.9804779968620521</v>
      </c>
      <c r="AK49" s="291">
        <f>AF49*$AH49/'Look-ups'!$B$140</f>
        <v>53.628347038307297</v>
      </c>
      <c r="AL49" s="291">
        <f>AG49*$AH49/'Look-ups'!$B$137</f>
        <v>3.8126485876522231</v>
      </c>
      <c r="AM49" s="291">
        <f>AI49/'Look-ups'!$B$136</f>
        <v>2.7357679808972706</v>
      </c>
      <c r="AN49" s="290">
        <f>AJ49*VLOOKUP($AD49,'Look-ups'!$A$123:$M$130,10,FALSE)</f>
        <v>1.8944241674817288</v>
      </c>
      <c r="AO49" s="290">
        <f>AK49*VLOOKUP($AD49,'Look-ups'!$A$123:$M$130,9,FALSE)</f>
        <v>6.1840532432207649</v>
      </c>
      <c r="AP49" s="290">
        <f>(AL49+AM49)*VLOOKUP($AD49,'Look-ups'!$A$123:$M$130,8,FALSE)</f>
        <v>2.0954933019358379</v>
      </c>
      <c r="AQ49" s="290">
        <f t="shared" si="0"/>
        <v>10.173970712638331</v>
      </c>
      <c r="AR49" s="292">
        <f>AJ49*VLOOKUP($AD49,'Look-ups'!$A$123:$M$130,11,FALSE)</f>
        <v>3.0156509328705266E-2</v>
      </c>
      <c r="AS49" s="292">
        <f>AK49*VLOOKUP($AD49,'Look-ups'!$A$123:$M$130,12,FALSE)</f>
        <v>9.9487659678294094</v>
      </c>
      <c r="AT49" s="292">
        <f>(AL49+AM49)*VLOOKUP($AD49,'Look-ups'!$A$123:$M$130,13,FALSE)</f>
        <v>1.6056717426083358</v>
      </c>
      <c r="AU49" s="292">
        <f t="shared" si="1"/>
        <v>11.584594219766451</v>
      </c>
    </row>
    <row r="50" spans="1:47" x14ac:dyDescent="0.25">
      <c r="A50">
        <v>2009</v>
      </c>
      <c r="B50" t="s">
        <v>1008</v>
      </c>
      <c r="C50">
        <v>367.39749999999901</v>
      </c>
      <c r="D50">
        <v>22200</v>
      </c>
      <c r="E50">
        <v>60.425016501201178</v>
      </c>
      <c r="F50" t="s">
        <v>172</v>
      </c>
      <c r="G50" t="s">
        <v>168</v>
      </c>
      <c r="H50">
        <f>VLOOKUP(CONCATENATE($G50,"-",$F50,"-",$H$2),'Look-ups'!$O$3:$S$34,5,FALSE)*VLOOKUP(CONCATENATE($F50,"-",$H$2,"-",H$3),'Look-ups'!$I$3:$M$24,5,FALSE)</f>
        <v>208</v>
      </c>
      <c r="I50">
        <f>VLOOKUP(CONCATENATE($G50,"-",$F50,"-",$H$2),'Look-ups'!$O$3:$S$34,5,FALSE)*VLOOKUP(CONCATENATE($F50,"-",$H$2,"-",I$3),'Look-ups'!$I$3:$M$24,5,FALSE)</f>
        <v>312</v>
      </c>
      <c r="J50">
        <f>VLOOKUP(CONCATENATE($G50,"-",$F50,"-",$H$2),'Look-ups'!$O$3:$S$34,5,FALSE)*VLOOKUP(CONCATENATE($F50,"-",$H$2,"-",J$3),'Look-ups'!$I$3:$M$24,5,FALSE)</f>
        <v>364</v>
      </c>
      <c r="K50">
        <f>VLOOKUP(CONCATENATE($G50,"-",$F50,"-",$H$2),'Look-ups'!$O$3:$S$34,5,FALSE)*VLOOKUP(CONCATENATE($F50,"-",$H$2,"-",K$3),'Look-ups'!$I$3:$M$24,5,FALSE)</f>
        <v>468</v>
      </c>
      <c r="L50">
        <f>VLOOKUP(CONCATENATE($G50,"-",$F50,"-",$H$2),'Look-ups'!$O$3:$S$34,5,FALSE)*VLOOKUP(CONCATENATE($F50,"-",$H$2,"-",L$3),'Look-ups'!$I$3:$M$24,5,FALSE)</f>
        <v>520</v>
      </c>
      <c r="M50">
        <f>VLOOKUP(CONCATENATE($G50,"-",$F50,"-",$H$2),'Look-ups'!$O$3:$S$34,5,FALSE)*VLOOKUP(CONCATENATE($F50,"-",$H$2,"-",M$3),'Look-ups'!$I$3:$M$24,5,FALSE)</f>
        <v>572</v>
      </c>
      <c r="N50">
        <f>VLOOKUP(CONCATENATE($G50,"-",$F50,"-",$N$2),'Look-ups'!$O$3:$S$34,5,FALSE)*VLOOKUP(CONCATENATE($F50,"-",$N$2,"-",N$3),'Look-ups'!$I$3:$M$24,5,FALSE)</f>
        <v>210</v>
      </c>
      <c r="O50">
        <f>VLOOKUP(CONCATENATE($G50,"-",$F50,"-",$N$2),'Look-ups'!$O$3:$S$34,5,FALSE)*VLOOKUP(CONCATENATE($F50,"-",$N$2,"-",O$3),'Look-ups'!$I$3:$M$24,5,FALSE)</f>
        <v>210</v>
      </c>
      <c r="P50">
        <f>VLOOKUP(CONCATENATE($G50,"-",$F50,"-",$N$2),'Look-ups'!$O$3:$S$34,5,FALSE)*VLOOKUP(CONCATENATE($F50,"-",$N$2,"-",P$3),'Look-ups'!$I$3:$M$24,5,FALSE)</f>
        <v>280</v>
      </c>
      <c r="Q50">
        <f>VLOOKUP(CONCATENATE($G50,"-",$F50,"-",$N$2),'Look-ups'!$O$3:$S$34,5,FALSE)*VLOOKUP(CONCATENATE($F50,"-",$N$2,"-",Q$3),'Look-ups'!$I$3:$M$24,5,FALSE)</f>
        <v>360</v>
      </c>
      <c r="R50">
        <f>VLOOKUP(CONCATENATE($G50,"-",$F50,"-",$N$2),'Look-ups'!$O$3:$S$34,5,FALSE)*VLOOKUP(CONCATENATE($F50,"-",$N$2,"-",R$3),'Look-ups'!$I$3:$M$24,5,FALSE)</f>
        <v>410</v>
      </c>
      <c r="S50" s="117">
        <f>VLOOKUP(CONCATENATE($G50,"-",$F50,"-Lone Person"),'Look-ups'!$Y$4:$AG$35,5,FALSE)</f>
        <v>94.160000000000011</v>
      </c>
      <c r="T50">
        <f>VLOOKUP(CONCATENATE($G50,"-",$F50,"-Lone Person"),'Look-ups'!$Y$4:$AG$35,6,FALSE)</f>
        <v>134.82000000000002</v>
      </c>
      <c r="U50">
        <f>VLOOKUP(CONCATENATE($G50,"-",$F50,"-Lone Person"),'Look-ups'!$Y$4:$AG$35,7,FALSE)</f>
        <v>161.57000000000002</v>
      </c>
      <c r="V50">
        <f>VLOOKUP(CONCATENATE($G50,"-",$F50,"-Lone Person"),'Look-ups'!$Y$4:$AG$35,8,FALSE)</f>
        <v>197.95000000000002</v>
      </c>
      <c r="W50">
        <f>VLOOKUP(CONCATENATE($G50,"-",$F50,"-Lone Person"),'Look-ups'!$Y$4:$AG$35,9,FALSE)</f>
        <v>188.32000000000002</v>
      </c>
      <c r="X50" s="117">
        <f>VLOOKUP(CONCATENATE($G50,"-",$F50,"-Couple Only"),'Look-ups'!$Y$4:$AG$35,5,FALSE)</f>
        <v>153.01000000000002</v>
      </c>
      <c r="Y50">
        <f>VLOOKUP(CONCATENATE($G50,"-",$F50,"-Couple Only"),'Look-ups'!$Y$4:$AG$35,6,FALSE)</f>
        <v>144.45000000000002</v>
      </c>
      <c r="Z50">
        <f>VLOOKUP(CONCATENATE($G50,"-",$F50,"-Couple Only"),'Look-ups'!$Y$4:$AG$35,7,FALSE)</f>
        <v>163.71</v>
      </c>
      <c r="AA50">
        <f>VLOOKUP(CONCATENATE($G50,"-",$F50,"-Couple Only"),'Look-ups'!$Y$4:$AG$35,8,FALSE)</f>
        <v>180.83</v>
      </c>
      <c r="AB50">
        <f>VLOOKUP(CONCATENATE($G50,"-",$F50,"-Couple Only"),'Look-ups'!$Y$4:$AG$35,9,FALSE)</f>
        <v>226.84</v>
      </c>
      <c r="AC50">
        <v>60</v>
      </c>
      <c r="AD50" t="s">
        <v>168</v>
      </c>
      <c r="AE50" s="287">
        <f>VLOOKUP($AD50,'Look-ups'!$A$122:$G$130,5,FALSE)</f>
        <v>8.2785087719298239E-2</v>
      </c>
      <c r="AF50" s="287">
        <f>VLOOKUP($AD50,'Look-ups'!$A$122:$G$130,6,FALSE)</f>
        <v>0.60690789473684215</v>
      </c>
      <c r="AG50" s="287">
        <f>VLOOKUP($AD50,'Look-ups'!$A$122:$G$130,7,FALSE)</f>
        <v>0.31030701754385964</v>
      </c>
      <c r="AH50" s="291">
        <f>VLOOKUP($AC50,'Look-ups'!$A$50:$AO$118,'Look-ups'!$B$133*4,FALSE)*0.277778</f>
        <v>64.505164090737964</v>
      </c>
      <c r="AI50" s="291">
        <f>VLOOKUP($AC50,'Look-ups'!$A$50:$AO$118,'Look-ups'!$B$133*4+1,FALSE)*0.277778</f>
        <v>12.994897909262034</v>
      </c>
      <c r="AJ50" s="291">
        <f>AE50*$AH50/'Look-ups'!$B$141</f>
        <v>6.9804779968620521</v>
      </c>
      <c r="AK50" s="291">
        <f>AF50*$AH50/'Look-ups'!$B$140</f>
        <v>53.628347038307297</v>
      </c>
      <c r="AL50" s="291">
        <f>AG50*$AH50/'Look-ups'!$B$137</f>
        <v>3.8126485876522231</v>
      </c>
      <c r="AM50" s="291">
        <f>AI50/'Look-ups'!$B$136</f>
        <v>2.7357679808972706</v>
      </c>
      <c r="AN50" s="290">
        <f>AJ50*VLOOKUP($AD50,'Look-ups'!$A$123:$M$130,10,FALSE)</f>
        <v>1.8944241674817288</v>
      </c>
      <c r="AO50" s="290">
        <f>AK50*VLOOKUP($AD50,'Look-ups'!$A$123:$M$130,9,FALSE)</f>
        <v>6.1840532432207649</v>
      </c>
      <c r="AP50" s="290">
        <f>(AL50+AM50)*VLOOKUP($AD50,'Look-ups'!$A$123:$M$130,8,FALSE)</f>
        <v>2.0954933019358379</v>
      </c>
      <c r="AQ50" s="290">
        <f t="shared" si="0"/>
        <v>10.173970712638331</v>
      </c>
      <c r="AR50" s="292">
        <f>AJ50*VLOOKUP($AD50,'Look-ups'!$A$123:$M$130,11,FALSE)</f>
        <v>3.0156509328705266E-2</v>
      </c>
      <c r="AS50" s="292">
        <f>AK50*VLOOKUP($AD50,'Look-ups'!$A$123:$M$130,12,FALSE)</f>
        <v>9.9487659678294094</v>
      </c>
      <c r="AT50" s="292">
        <f>(AL50+AM50)*VLOOKUP($AD50,'Look-ups'!$A$123:$M$130,13,FALSE)</f>
        <v>1.6056717426083358</v>
      </c>
      <c r="AU50" s="292">
        <f t="shared" si="1"/>
        <v>11.584594219766451</v>
      </c>
    </row>
    <row r="51" spans="1:47" x14ac:dyDescent="0.25">
      <c r="A51">
        <v>2010</v>
      </c>
      <c r="B51" t="s">
        <v>343</v>
      </c>
      <c r="C51">
        <v>83.069100000000006</v>
      </c>
      <c r="D51">
        <v>16985</v>
      </c>
      <c r="E51">
        <v>204.46832817497722</v>
      </c>
      <c r="F51" t="s">
        <v>172</v>
      </c>
      <c r="G51" t="s">
        <v>168</v>
      </c>
      <c r="H51">
        <f>VLOOKUP(CONCATENATE($G51,"-",$F51,"-",$H$2),'Look-ups'!$O$3:$S$34,5,FALSE)*VLOOKUP(CONCATENATE($F51,"-",$H$2,"-",H$3),'Look-ups'!$I$3:$M$24,5,FALSE)</f>
        <v>208</v>
      </c>
      <c r="I51">
        <f>VLOOKUP(CONCATENATE($G51,"-",$F51,"-",$H$2),'Look-ups'!$O$3:$S$34,5,FALSE)*VLOOKUP(CONCATENATE($F51,"-",$H$2,"-",I$3),'Look-ups'!$I$3:$M$24,5,FALSE)</f>
        <v>312</v>
      </c>
      <c r="J51">
        <f>VLOOKUP(CONCATENATE($G51,"-",$F51,"-",$H$2),'Look-ups'!$O$3:$S$34,5,FALSE)*VLOOKUP(CONCATENATE($F51,"-",$H$2,"-",J$3),'Look-ups'!$I$3:$M$24,5,FALSE)</f>
        <v>364</v>
      </c>
      <c r="K51">
        <f>VLOOKUP(CONCATENATE($G51,"-",$F51,"-",$H$2),'Look-ups'!$O$3:$S$34,5,FALSE)*VLOOKUP(CONCATENATE($F51,"-",$H$2,"-",K$3),'Look-ups'!$I$3:$M$24,5,FALSE)</f>
        <v>468</v>
      </c>
      <c r="L51">
        <f>VLOOKUP(CONCATENATE($G51,"-",$F51,"-",$H$2),'Look-ups'!$O$3:$S$34,5,FALSE)*VLOOKUP(CONCATENATE($F51,"-",$H$2,"-",L$3),'Look-ups'!$I$3:$M$24,5,FALSE)</f>
        <v>520</v>
      </c>
      <c r="M51">
        <f>VLOOKUP(CONCATENATE($G51,"-",$F51,"-",$H$2),'Look-ups'!$O$3:$S$34,5,FALSE)*VLOOKUP(CONCATENATE($F51,"-",$H$2,"-",M$3),'Look-ups'!$I$3:$M$24,5,FALSE)</f>
        <v>572</v>
      </c>
      <c r="N51">
        <f>VLOOKUP(CONCATENATE($G51,"-",$F51,"-",$N$2),'Look-ups'!$O$3:$S$34,5,FALSE)*VLOOKUP(CONCATENATE($F51,"-",$N$2,"-",N$3),'Look-ups'!$I$3:$M$24,5,FALSE)</f>
        <v>210</v>
      </c>
      <c r="O51">
        <f>VLOOKUP(CONCATENATE($G51,"-",$F51,"-",$N$2),'Look-ups'!$O$3:$S$34,5,FALSE)*VLOOKUP(CONCATENATE($F51,"-",$N$2,"-",O$3),'Look-ups'!$I$3:$M$24,5,FALSE)</f>
        <v>210</v>
      </c>
      <c r="P51">
        <f>VLOOKUP(CONCATENATE($G51,"-",$F51,"-",$N$2),'Look-ups'!$O$3:$S$34,5,FALSE)*VLOOKUP(CONCATENATE($F51,"-",$N$2,"-",P$3),'Look-ups'!$I$3:$M$24,5,FALSE)</f>
        <v>280</v>
      </c>
      <c r="Q51">
        <f>VLOOKUP(CONCATENATE($G51,"-",$F51,"-",$N$2),'Look-ups'!$O$3:$S$34,5,FALSE)*VLOOKUP(CONCATENATE($F51,"-",$N$2,"-",Q$3),'Look-ups'!$I$3:$M$24,5,FALSE)</f>
        <v>360</v>
      </c>
      <c r="R51">
        <f>VLOOKUP(CONCATENATE($G51,"-",$F51,"-",$N$2),'Look-ups'!$O$3:$S$34,5,FALSE)*VLOOKUP(CONCATENATE($F51,"-",$N$2,"-",R$3),'Look-ups'!$I$3:$M$24,5,FALSE)</f>
        <v>410</v>
      </c>
      <c r="S51" s="117">
        <f>VLOOKUP(CONCATENATE($G51,"-",$F51,"-Lone Person"),'Look-ups'!$Y$4:$AG$35,5,FALSE)</f>
        <v>94.160000000000011</v>
      </c>
      <c r="T51">
        <f>VLOOKUP(CONCATENATE($G51,"-",$F51,"-Lone Person"),'Look-ups'!$Y$4:$AG$35,6,FALSE)</f>
        <v>134.82000000000002</v>
      </c>
      <c r="U51">
        <f>VLOOKUP(CONCATENATE($G51,"-",$F51,"-Lone Person"),'Look-ups'!$Y$4:$AG$35,7,FALSE)</f>
        <v>161.57000000000002</v>
      </c>
      <c r="V51">
        <f>VLOOKUP(CONCATENATE($G51,"-",$F51,"-Lone Person"),'Look-ups'!$Y$4:$AG$35,8,FALSE)</f>
        <v>197.95000000000002</v>
      </c>
      <c r="W51">
        <f>VLOOKUP(CONCATENATE($G51,"-",$F51,"-Lone Person"),'Look-ups'!$Y$4:$AG$35,9,FALSE)</f>
        <v>188.32000000000002</v>
      </c>
      <c r="X51" s="117">
        <f>VLOOKUP(CONCATENATE($G51,"-",$F51,"-Couple Only"),'Look-ups'!$Y$4:$AG$35,5,FALSE)</f>
        <v>153.01000000000002</v>
      </c>
      <c r="Y51">
        <f>VLOOKUP(CONCATENATE($G51,"-",$F51,"-Couple Only"),'Look-ups'!$Y$4:$AG$35,6,FALSE)</f>
        <v>144.45000000000002</v>
      </c>
      <c r="Z51">
        <f>VLOOKUP(CONCATENATE($G51,"-",$F51,"-Couple Only"),'Look-ups'!$Y$4:$AG$35,7,FALSE)</f>
        <v>163.71</v>
      </c>
      <c r="AA51">
        <f>VLOOKUP(CONCATENATE($G51,"-",$F51,"-Couple Only"),'Look-ups'!$Y$4:$AG$35,8,FALSE)</f>
        <v>180.83</v>
      </c>
      <c r="AB51">
        <f>VLOOKUP(CONCATENATE($G51,"-",$F51,"-Couple Only"),'Look-ups'!$Y$4:$AG$35,9,FALSE)</f>
        <v>226.84</v>
      </c>
      <c r="AC51">
        <v>27</v>
      </c>
      <c r="AD51" t="s">
        <v>168</v>
      </c>
      <c r="AE51" s="287">
        <f>VLOOKUP($AD51,'Look-ups'!$A$122:$G$130,5,FALSE)</f>
        <v>8.2785087719298239E-2</v>
      </c>
      <c r="AF51" s="287">
        <f>VLOOKUP($AD51,'Look-ups'!$A$122:$G$130,6,FALSE)</f>
        <v>0.60690789473684215</v>
      </c>
      <c r="AG51" s="287">
        <f>VLOOKUP($AD51,'Look-ups'!$A$122:$G$130,7,FALSE)</f>
        <v>0.31030701754385964</v>
      </c>
      <c r="AH51" s="291">
        <f>VLOOKUP($AC51,'Look-ups'!$A$50:$AO$118,'Look-ups'!$B$133*4,FALSE)*0.277778</f>
        <v>41.490850904412511</v>
      </c>
      <c r="AI51" s="291">
        <f>VLOOKUP($AC51,'Look-ups'!$A$50:$AO$118,'Look-ups'!$B$133*4+1,FALSE)*0.277778</f>
        <v>31.564763095587505</v>
      </c>
      <c r="AJ51" s="291">
        <f>AE51*$AH51/'Look-ups'!$B$141</f>
        <v>4.4899656623138755</v>
      </c>
      <c r="AK51" s="291">
        <f>AF51*$AH51/'Look-ups'!$B$140</f>
        <v>34.494691744160548</v>
      </c>
      <c r="AL51" s="291">
        <f>AG51*$AH51/'Look-ups'!$B$137</f>
        <v>2.4523623237152758</v>
      </c>
      <c r="AM51" s="291">
        <f>AI51/'Look-ups'!$B$136</f>
        <v>6.6452132832815805</v>
      </c>
      <c r="AN51" s="290">
        <f>AJ51*VLOOKUP($AD51,'Look-ups'!$A$123:$M$130,10,FALSE)</f>
        <v>1.2185267922446266</v>
      </c>
      <c r="AO51" s="290">
        <f>AK51*VLOOKUP($AD51,'Look-ups'!$A$123:$M$130,9,FALSE)</f>
        <v>3.9776913169074928</v>
      </c>
      <c r="AP51" s="290">
        <f>(AL51+AM51)*VLOOKUP($AD51,'Look-ups'!$A$123:$M$130,8,FALSE)</f>
        <v>2.9112241942389936</v>
      </c>
      <c r="AQ51" s="290">
        <f t="shared" si="0"/>
        <v>8.1074423033911138</v>
      </c>
      <c r="AR51" s="292">
        <f>AJ51*VLOOKUP($AD51,'Look-ups'!$A$123:$M$130,11,FALSE)</f>
        <v>1.9397194782649854E-2</v>
      </c>
      <c r="AS51" s="292">
        <f>AK51*VLOOKUP($AD51,'Look-ups'!$A$123:$M$130,12,FALSE)</f>
        <v>6.3992204542484545</v>
      </c>
      <c r="AT51" s="292">
        <f>(AL51+AM51)*VLOOKUP($AD51,'Look-ups'!$A$123:$M$130,13,FALSE)</f>
        <v>2.2307255388356291</v>
      </c>
      <c r="AU51" s="292">
        <f t="shared" si="1"/>
        <v>8.6493431878667337</v>
      </c>
    </row>
    <row r="52" spans="1:47" x14ac:dyDescent="0.25">
      <c r="A52">
        <v>2011</v>
      </c>
      <c r="B52" t="s">
        <v>344</v>
      </c>
      <c r="C52">
        <v>7100.1467000000002</v>
      </c>
      <c r="D52">
        <v>4817843</v>
      </c>
      <c r="E52">
        <v>678.55541632682036</v>
      </c>
      <c r="F52" t="s">
        <v>171</v>
      </c>
      <c r="G52" t="s">
        <v>168</v>
      </c>
      <c r="H52">
        <f>VLOOKUP(CONCATENATE($G52,"-",$F52,"-",$H$2),'Look-ups'!$O$3:$S$34,5,FALSE)*VLOOKUP(CONCATENATE($F52,"-",$H$2,"-",H$3),'Look-ups'!$I$3:$M$24,5,FALSE)</f>
        <v>250.69444444444443</v>
      </c>
      <c r="I52">
        <f>VLOOKUP(CONCATENATE($G52,"-",$F52,"-",$H$2),'Look-ups'!$O$3:$S$34,5,FALSE)*VLOOKUP(CONCATENATE($F52,"-",$H$2,"-",I$3),'Look-ups'!$I$3:$M$24,5,FALSE)</f>
        <v>361</v>
      </c>
      <c r="J52">
        <f>VLOOKUP(CONCATENATE($G52,"-",$F52,"-",$H$2),'Look-ups'!$O$3:$S$34,5,FALSE)*VLOOKUP(CONCATENATE($F52,"-",$H$2,"-",J$3),'Look-ups'!$I$3:$M$24,5,FALSE)</f>
        <v>441.22222222222229</v>
      </c>
      <c r="K52">
        <f>VLOOKUP(CONCATENATE($G52,"-",$F52,"-",$H$2),'Look-ups'!$O$3:$S$34,5,FALSE)*VLOOKUP(CONCATENATE($F52,"-",$H$2,"-",K$3),'Look-ups'!$I$3:$M$24,5,FALSE)</f>
        <v>561.55555555555554</v>
      </c>
      <c r="L52">
        <f>VLOOKUP(CONCATENATE($G52,"-",$F52,"-",$H$2),'Look-ups'!$O$3:$S$34,5,FALSE)*VLOOKUP(CONCATENATE($F52,"-",$H$2,"-",L$3),'Look-ups'!$I$3:$M$24,5,FALSE)</f>
        <v>676.875</v>
      </c>
      <c r="M52">
        <f>VLOOKUP(CONCATENATE($G52,"-",$F52,"-",$H$2),'Look-ups'!$O$3:$S$34,5,FALSE)*VLOOKUP(CONCATENATE($F52,"-",$H$2,"-",M$3),'Look-ups'!$I$3:$M$24,5,FALSE)</f>
        <v>752.08333333333337</v>
      </c>
      <c r="N52">
        <f>VLOOKUP(CONCATENATE($G52,"-",$F52,"-",$N$2),'Look-ups'!$O$3:$S$34,5,FALSE)*VLOOKUP(CONCATENATE($F52,"-",$N$2,"-",N$3),'Look-ups'!$I$3:$M$24,5,FALSE)</f>
        <v>239.20000000000002</v>
      </c>
      <c r="O52">
        <f>VLOOKUP(CONCATENATE($G52,"-",$F52,"-",$N$2),'Look-ups'!$O$3:$S$34,5,FALSE)*VLOOKUP(CONCATENATE($F52,"-",$N$2,"-",O$3),'Look-ups'!$I$3:$M$24,5,FALSE)</f>
        <v>322</v>
      </c>
      <c r="P52">
        <f>VLOOKUP(CONCATENATE($G52,"-",$F52,"-",$N$2),'Look-ups'!$O$3:$S$34,5,FALSE)*VLOOKUP(CONCATENATE($F52,"-",$N$2,"-",P$3),'Look-ups'!$I$3:$M$24,5,FALSE)</f>
        <v>345</v>
      </c>
      <c r="Q52">
        <f>VLOOKUP(CONCATENATE($G52,"-",$F52,"-",$N$2),'Look-ups'!$O$3:$S$34,5,FALSE)*VLOOKUP(CONCATENATE($F52,"-",$N$2,"-",Q$3),'Look-ups'!$I$3:$M$24,5,FALSE)</f>
        <v>450.8</v>
      </c>
      <c r="R52">
        <f>VLOOKUP(CONCATENATE($G52,"-",$F52,"-",$N$2),'Look-ups'!$O$3:$S$34,5,FALSE)*VLOOKUP(CONCATENATE($F52,"-",$N$2,"-",R$3),'Look-ups'!$I$3:$M$24,5,FALSE)</f>
        <v>505.99999999999994</v>
      </c>
      <c r="S52" s="117">
        <f>VLOOKUP(CONCATENATE($G52,"-",$F52,"-Lone Person"),'Look-ups'!$Y$4:$AG$35,5,FALSE)</f>
        <v>115.56</v>
      </c>
      <c r="T52">
        <f>VLOOKUP(CONCATENATE($G52,"-",$F52,"-Lone Person"),'Look-ups'!$Y$4:$AG$35,6,FALSE)</f>
        <v>165.85000000000002</v>
      </c>
      <c r="U52">
        <f>VLOOKUP(CONCATENATE($G52,"-",$F52,"-Lone Person"),'Look-ups'!$Y$4:$AG$35,7,FALSE)</f>
        <v>199.02</v>
      </c>
      <c r="V52">
        <f>VLOOKUP(CONCATENATE($G52,"-",$F52,"-Lone Person"),'Look-ups'!$Y$4:$AG$35,8,FALSE)</f>
        <v>242.89000000000001</v>
      </c>
      <c r="W52">
        <f>VLOOKUP(CONCATENATE($G52,"-",$F52,"-Lone Person"),'Look-ups'!$Y$4:$AG$35,9,FALSE)</f>
        <v>231.12</v>
      </c>
      <c r="X52" s="117">
        <f>VLOOKUP(CONCATENATE($G52,"-",$F52,"-Couple Only"),'Look-ups'!$Y$4:$AG$35,5,FALSE)</f>
        <v>187.25</v>
      </c>
      <c r="Y52">
        <f>VLOOKUP(CONCATENATE($G52,"-",$F52,"-Couple Only"),'Look-ups'!$Y$4:$AG$35,6,FALSE)</f>
        <v>177.62</v>
      </c>
      <c r="Z52">
        <f>VLOOKUP(CONCATENATE($G52,"-",$F52,"-Couple Only"),'Look-ups'!$Y$4:$AG$35,7,FALSE)</f>
        <v>201.16000000000003</v>
      </c>
      <c r="AA52">
        <f>VLOOKUP(CONCATENATE($G52,"-",$F52,"-Couple Only"),'Look-ups'!$Y$4:$AG$35,8,FALSE)</f>
        <v>222.56</v>
      </c>
      <c r="AB52">
        <f>VLOOKUP(CONCATENATE($G52,"-",$F52,"-Couple Only"),'Look-ups'!$Y$4:$AG$35,9,FALSE)</f>
        <v>279.27000000000004</v>
      </c>
      <c r="AC52">
        <v>21</v>
      </c>
      <c r="AD52" t="s">
        <v>168</v>
      </c>
      <c r="AE52" s="287">
        <f>VLOOKUP($AD52,'Look-ups'!$A$122:$G$130,5,FALSE)</f>
        <v>8.2785087719298239E-2</v>
      </c>
      <c r="AF52" s="287">
        <f>VLOOKUP($AD52,'Look-ups'!$A$122:$G$130,6,FALSE)</f>
        <v>0.60690789473684215</v>
      </c>
      <c r="AG52" s="287">
        <f>VLOOKUP($AD52,'Look-ups'!$A$122:$G$130,7,FALSE)</f>
        <v>0.31030701754385964</v>
      </c>
      <c r="AH52" s="291">
        <f>VLOOKUP($AC52,'Look-ups'!$A$50:$AO$118,'Look-ups'!$B$133*4,FALSE)*0.277778</f>
        <v>36.435397387972884</v>
      </c>
      <c r="AI52" s="291">
        <f>VLOOKUP($AC52,'Look-ups'!$A$50:$AO$118,'Look-ups'!$B$133*4+1,FALSE)*0.277778</f>
        <v>18.842424612027123</v>
      </c>
      <c r="AJ52" s="291">
        <f>AE52*$AH52/'Look-ups'!$B$141</f>
        <v>3.9428857109161117</v>
      </c>
      <c r="AK52" s="291">
        <f>AF52*$AH52/'Look-ups'!$B$140</f>
        <v>30.291685373472411</v>
      </c>
      <c r="AL52" s="291">
        <f>AG52*$AH52/'Look-ups'!$B$137</f>
        <v>2.1535541898070854</v>
      </c>
      <c r="AM52" s="291">
        <f>AI52/'Look-ups'!$B$136</f>
        <v>3.9668262341109735</v>
      </c>
      <c r="AN52" s="290">
        <f>AJ52*VLOOKUP($AD52,'Look-ups'!$A$123:$M$130,10,FALSE)</f>
        <v>1.0700553721014001</v>
      </c>
      <c r="AO52" s="290">
        <f>AK52*VLOOKUP($AD52,'Look-ups'!$A$123:$M$130,9,FALSE)</f>
        <v>3.4930294428548501</v>
      </c>
      <c r="AP52" s="290">
        <f>(AL52+AM52)*VLOOKUP($AD52,'Look-ups'!$A$123:$M$130,8,FALSE)</f>
        <v>1.958521735653779</v>
      </c>
      <c r="AQ52" s="290">
        <f t="shared" si="0"/>
        <v>6.5216065506100289</v>
      </c>
      <c r="AR52" s="292">
        <f>AJ52*VLOOKUP($AD52,'Look-ups'!$A$123:$M$130,11,FALSE)</f>
        <v>1.7033743215967647E-2</v>
      </c>
      <c r="AS52" s="292">
        <f>AK52*VLOOKUP($AD52,'Look-ups'!$A$123:$M$130,12,FALSE)</f>
        <v>5.619507316466982</v>
      </c>
      <c r="AT52" s="292">
        <f>(AL52+AM52)*VLOOKUP($AD52,'Look-ups'!$A$123:$M$130,13,FALSE)</f>
        <v>1.5007172799447079</v>
      </c>
      <c r="AU52" s="292">
        <f t="shared" si="1"/>
        <v>7.1372583396276577</v>
      </c>
    </row>
    <row r="53" spans="1:47" x14ac:dyDescent="0.25">
      <c r="A53">
        <v>2012</v>
      </c>
      <c r="B53" t="s">
        <v>1009</v>
      </c>
      <c r="C53">
        <v>588.85810000000004</v>
      </c>
      <c r="D53">
        <v>53620</v>
      </c>
      <c r="E53">
        <v>91.05759095442518</v>
      </c>
      <c r="F53" t="s">
        <v>172</v>
      </c>
      <c r="G53" t="s">
        <v>168</v>
      </c>
      <c r="H53">
        <f>VLOOKUP(CONCATENATE($G53,"-",$F53,"-",$H$2),'Look-ups'!$O$3:$S$34,5,FALSE)*VLOOKUP(CONCATENATE($F53,"-",$H$2,"-",H$3),'Look-ups'!$I$3:$M$24,5,FALSE)</f>
        <v>208</v>
      </c>
      <c r="I53">
        <f>VLOOKUP(CONCATENATE($G53,"-",$F53,"-",$H$2),'Look-ups'!$O$3:$S$34,5,FALSE)*VLOOKUP(CONCATENATE($F53,"-",$H$2,"-",I$3),'Look-ups'!$I$3:$M$24,5,FALSE)</f>
        <v>312</v>
      </c>
      <c r="J53">
        <f>VLOOKUP(CONCATENATE($G53,"-",$F53,"-",$H$2),'Look-ups'!$O$3:$S$34,5,FALSE)*VLOOKUP(CONCATENATE($F53,"-",$H$2,"-",J$3),'Look-ups'!$I$3:$M$24,5,FALSE)</f>
        <v>364</v>
      </c>
      <c r="K53">
        <f>VLOOKUP(CONCATENATE($G53,"-",$F53,"-",$H$2),'Look-ups'!$O$3:$S$34,5,FALSE)*VLOOKUP(CONCATENATE($F53,"-",$H$2,"-",K$3),'Look-ups'!$I$3:$M$24,5,FALSE)</f>
        <v>468</v>
      </c>
      <c r="L53">
        <f>VLOOKUP(CONCATENATE($G53,"-",$F53,"-",$H$2),'Look-ups'!$O$3:$S$34,5,FALSE)*VLOOKUP(CONCATENATE($F53,"-",$H$2,"-",L$3),'Look-ups'!$I$3:$M$24,5,FALSE)</f>
        <v>520</v>
      </c>
      <c r="M53">
        <f>VLOOKUP(CONCATENATE($G53,"-",$F53,"-",$H$2),'Look-ups'!$O$3:$S$34,5,FALSE)*VLOOKUP(CONCATENATE($F53,"-",$H$2,"-",M$3),'Look-ups'!$I$3:$M$24,5,FALSE)</f>
        <v>572</v>
      </c>
      <c r="N53">
        <f>VLOOKUP(CONCATENATE($G53,"-",$F53,"-",$N$2),'Look-ups'!$O$3:$S$34,5,FALSE)*VLOOKUP(CONCATENATE($F53,"-",$N$2,"-",N$3),'Look-ups'!$I$3:$M$24,5,FALSE)</f>
        <v>210</v>
      </c>
      <c r="O53">
        <f>VLOOKUP(CONCATENATE($G53,"-",$F53,"-",$N$2),'Look-ups'!$O$3:$S$34,5,FALSE)*VLOOKUP(CONCATENATE($F53,"-",$N$2,"-",O$3),'Look-ups'!$I$3:$M$24,5,FALSE)</f>
        <v>210</v>
      </c>
      <c r="P53">
        <f>VLOOKUP(CONCATENATE($G53,"-",$F53,"-",$N$2),'Look-ups'!$O$3:$S$34,5,FALSE)*VLOOKUP(CONCATENATE($F53,"-",$N$2,"-",P$3),'Look-ups'!$I$3:$M$24,5,FALSE)</f>
        <v>280</v>
      </c>
      <c r="Q53">
        <f>VLOOKUP(CONCATENATE($G53,"-",$F53,"-",$N$2),'Look-ups'!$O$3:$S$34,5,FALSE)*VLOOKUP(CONCATENATE($F53,"-",$N$2,"-",Q$3),'Look-ups'!$I$3:$M$24,5,FALSE)</f>
        <v>360</v>
      </c>
      <c r="R53">
        <f>VLOOKUP(CONCATENATE($G53,"-",$F53,"-",$N$2),'Look-ups'!$O$3:$S$34,5,FALSE)*VLOOKUP(CONCATENATE($F53,"-",$N$2,"-",R$3),'Look-ups'!$I$3:$M$24,5,FALSE)</f>
        <v>410</v>
      </c>
      <c r="S53" s="117">
        <f>VLOOKUP(CONCATENATE($G53,"-",$F53,"-Lone Person"),'Look-ups'!$Y$4:$AG$35,5,FALSE)</f>
        <v>94.160000000000011</v>
      </c>
      <c r="T53">
        <f>VLOOKUP(CONCATENATE($G53,"-",$F53,"-Lone Person"),'Look-ups'!$Y$4:$AG$35,6,FALSE)</f>
        <v>134.82000000000002</v>
      </c>
      <c r="U53">
        <f>VLOOKUP(CONCATENATE($G53,"-",$F53,"-Lone Person"),'Look-ups'!$Y$4:$AG$35,7,FALSE)</f>
        <v>161.57000000000002</v>
      </c>
      <c r="V53">
        <f>VLOOKUP(CONCATENATE($G53,"-",$F53,"-Lone Person"),'Look-ups'!$Y$4:$AG$35,8,FALSE)</f>
        <v>197.95000000000002</v>
      </c>
      <c r="W53">
        <f>VLOOKUP(CONCATENATE($G53,"-",$F53,"-Lone Person"),'Look-ups'!$Y$4:$AG$35,9,FALSE)</f>
        <v>188.32000000000002</v>
      </c>
      <c r="X53" s="117">
        <f>VLOOKUP(CONCATENATE($G53,"-",$F53,"-Couple Only"),'Look-ups'!$Y$4:$AG$35,5,FALSE)</f>
        <v>153.01000000000002</v>
      </c>
      <c r="Y53">
        <f>VLOOKUP(CONCATENATE($G53,"-",$F53,"-Couple Only"),'Look-ups'!$Y$4:$AG$35,6,FALSE)</f>
        <v>144.45000000000002</v>
      </c>
      <c r="Z53">
        <f>VLOOKUP(CONCATENATE($G53,"-",$F53,"-Couple Only"),'Look-ups'!$Y$4:$AG$35,7,FALSE)</f>
        <v>163.71</v>
      </c>
      <c r="AA53">
        <f>VLOOKUP(CONCATENATE($G53,"-",$F53,"-Couple Only"),'Look-ups'!$Y$4:$AG$35,8,FALSE)</f>
        <v>180.83</v>
      </c>
      <c r="AB53">
        <f>VLOOKUP(CONCATENATE($G53,"-",$F53,"-Couple Only"),'Look-ups'!$Y$4:$AG$35,9,FALSE)</f>
        <v>226.84</v>
      </c>
      <c r="AC53">
        <v>27</v>
      </c>
      <c r="AD53" t="s">
        <v>168</v>
      </c>
      <c r="AE53" s="287">
        <f>VLOOKUP($AD53,'Look-ups'!$A$122:$G$130,5,FALSE)</f>
        <v>8.2785087719298239E-2</v>
      </c>
      <c r="AF53" s="287">
        <f>VLOOKUP($AD53,'Look-ups'!$A$122:$G$130,6,FALSE)</f>
        <v>0.60690789473684215</v>
      </c>
      <c r="AG53" s="287">
        <f>VLOOKUP($AD53,'Look-ups'!$A$122:$G$130,7,FALSE)</f>
        <v>0.31030701754385964</v>
      </c>
      <c r="AH53" s="291">
        <f>VLOOKUP($AC53,'Look-ups'!$A$50:$AO$118,'Look-ups'!$B$133*4,FALSE)*0.277778</f>
        <v>41.490850904412511</v>
      </c>
      <c r="AI53" s="291">
        <f>VLOOKUP($AC53,'Look-ups'!$A$50:$AO$118,'Look-ups'!$B$133*4+1,FALSE)*0.277778</f>
        <v>31.564763095587505</v>
      </c>
      <c r="AJ53" s="291">
        <f>AE53*$AH53/'Look-ups'!$B$141</f>
        <v>4.4899656623138755</v>
      </c>
      <c r="AK53" s="291">
        <f>AF53*$AH53/'Look-ups'!$B$140</f>
        <v>34.494691744160548</v>
      </c>
      <c r="AL53" s="291">
        <f>AG53*$AH53/'Look-ups'!$B$137</f>
        <v>2.4523623237152758</v>
      </c>
      <c r="AM53" s="291">
        <f>AI53/'Look-ups'!$B$136</f>
        <v>6.6452132832815805</v>
      </c>
      <c r="AN53" s="290">
        <f>AJ53*VLOOKUP($AD53,'Look-ups'!$A$123:$M$130,10,FALSE)</f>
        <v>1.2185267922446266</v>
      </c>
      <c r="AO53" s="290">
        <f>AK53*VLOOKUP($AD53,'Look-ups'!$A$123:$M$130,9,FALSE)</f>
        <v>3.9776913169074928</v>
      </c>
      <c r="AP53" s="290">
        <f>(AL53+AM53)*VLOOKUP($AD53,'Look-ups'!$A$123:$M$130,8,FALSE)</f>
        <v>2.9112241942389936</v>
      </c>
      <c r="AQ53" s="290">
        <f t="shared" si="0"/>
        <v>8.1074423033911138</v>
      </c>
      <c r="AR53" s="292">
        <f>AJ53*VLOOKUP($AD53,'Look-ups'!$A$123:$M$130,11,FALSE)</f>
        <v>1.9397194782649854E-2</v>
      </c>
      <c r="AS53" s="292">
        <f>AK53*VLOOKUP($AD53,'Look-ups'!$A$123:$M$130,12,FALSE)</f>
        <v>6.3992204542484545</v>
      </c>
      <c r="AT53" s="292">
        <f>(AL53+AM53)*VLOOKUP($AD53,'Look-ups'!$A$123:$M$130,13,FALSE)</f>
        <v>2.2307255388356291</v>
      </c>
      <c r="AU53" s="292">
        <f t="shared" si="1"/>
        <v>8.6493431878667337</v>
      </c>
    </row>
    <row r="54" spans="1:47" x14ac:dyDescent="0.25">
      <c r="A54">
        <v>2013</v>
      </c>
      <c r="B54" t="s">
        <v>345</v>
      </c>
      <c r="C54">
        <v>447.9855</v>
      </c>
      <c r="D54">
        <v>21997</v>
      </c>
      <c r="E54">
        <v>49.102035668565165</v>
      </c>
      <c r="F54" t="s">
        <v>172</v>
      </c>
      <c r="G54" t="s">
        <v>168</v>
      </c>
      <c r="H54">
        <f>VLOOKUP(CONCATENATE($G54,"-",$F54,"-",$H$2),'Look-ups'!$O$3:$S$34,5,FALSE)*VLOOKUP(CONCATENATE($F54,"-",$H$2,"-",H$3),'Look-ups'!$I$3:$M$24,5,FALSE)</f>
        <v>208</v>
      </c>
      <c r="I54">
        <f>VLOOKUP(CONCATENATE($G54,"-",$F54,"-",$H$2),'Look-ups'!$O$3:$S$34,5,FALSE)*VLOOKUP(CONCATENATE($F54,"-",$H$2,"-",I$3),'Look-ups'!$I$3:$M$24,5,FALSE)</f>
        <v>312</v>
      </c>
      <c r="J54">
        <f>VLOOKUP(CONCATENATE($G54,"-",$F54,"-",$H$2),'Look-ups'!$O$3:$S$34,5,FALSE)*VLOOKUP(CONCATENATE($F54,"-",$H$2,"-",J$3),'Look-ups'!$I$3:$M$24,5,FALSE)</f>
        <v>364</v>
      </c>
      <c r="K54">
        <f>VLOOKUP(CONCATENATE($G54,"-",$F54,"-",$H$2),'Look-ups'!$O$3:$S$34,5,FALSE)*VLOOKUP(CONCATENATE($F54,"-",$H$2,"-",K$3),'Look-ups'!$I$3:$M$24,5,FALSE)</f>
        <v>468</v>
      </c>
      <c r="L54">
        <f>VLOOKUP(CONCATENATE($G54,"-",$F54,"-",$H$2),'Look-ups'!$O$3:$S$34,5,FALSE)*VLOOKUP(CONCATENATE($F54,"-",$H$2,"-",L$3),'Look-ups'!$I$3:$M$24,5,FALSE)</f>
        <v>520</v>
      </c>
      <c r="M54">
        <f>VLOOKUP(CONCATENATE($G54,"-",$F54,"-",$H$2),'Look-ups'!$O$3:$S$34,5,FALSE)*VLOOKUP(CONCATENATE($F54,"-",$H$2,"-",M$3),'Look-ups'!$I$3:$M$24,5,FALSE)</f>
        <v>572</v>
      </c>
      <c r="N54">
        <f>VLOOKUP(CONCATENATE($G54,"-",$F54,"-",$N$2),'Look-ups'!$O$3:$S$34,5,FALSE)*VLOOKUP(CONCATENATE($F54,"-",$N$2,"-",N$3),'Look-ups'!$I$3:$M$24,5,FALSE)</f>
        <v>210</v>
      </c>
      <c r="O54">
        <f>VLOOKUP(CONCATENATE($G54,"-",$F54,"-",$N$2),'Look-ups'!$O$3:$S$34,5,FALSE)*VLOOKUP(CONCATENATE($F54,"-",$N$2,"-",O$3),'Look-ups'!$I$3:$M$24,5,FALSE)</f>
        <v>210</v>
      </c>
      <c r="P54">
        <f>VLOOKUP(CONCATENATE($G54,"-",$F54,"-",$N$2),'Look-ups'!$O$3:$S$34,5,FALSE)*VLOOKUP(CONCATENATE($F54,"-",$N$2,"-",P$3),'Look-ups'!$I$3:$M$24,5,FALSE)</f>
        <v>280</v>
      </c>
      <c r="Q54">
        <f>VLOOKUP(CONCATENATE($G54,"-",$F54,"-",$N$2),'Look-ups'!$O$3:$S$34,5,FALSE)*VLOOKUP(CONCATENATE($F54,"-",$N$2,"-",Q$3),'Look-ups'!$I$3:$M$24,5,FALSE)</f>
        <v>360</v>
      </c>
      <c r="R54">
        <f>VLOOKUP(CONCATENATE($G54,"-",$F54,"-",$N$2),'Look-ups'!$O$3:$S$34,5,FALSE)*VLOOKUP(CONCATENATE($F54,"-",$N$2,"-",R$3),'Look-ups'!$I$3:$M$24,5,FALSE)</f>
        <v>410</v>
      </c>
      <c r="S54" s="117">
        <f>VLOOKUP(CONCATENATE($G54,"-",$F54,"-Lone Person"),'Look-ups'!$Y$4:$AG$35,5,FALSE)</f>
        <v>94.160000000000011</v>
      </c>
      <c r="T54">
        <f>VLOOKUP(CONCATENATE($G54,"-",$F54,"-Lone Person"),'Look-ups'!$Y$4:$AG$35,6,FALSE)</f>
        <v>134.82000000000002</v>
      </c>
      <c r="U54">
        <f>VLOOKUP(CONCATENATE($G54,"-",$F54,"-Lone Person"),'Look-ups'!$Y$4:$AG$35,7,FALSE)</f>
        <v>161.57000000000002</v>
      </c>
      <c r="V54">
        <f>VLOOKUP(CONCATENATE($G54,"-",$F54,"-Lone Person"),'Look-ups'!$Y$4:$AG$35,8,FALSE)</f>
        <v>197.95000000000002</v>
      </c>
      <c r="W54">
        <f>VLOOKUP(CONCATENATE($G54,"-",$F54,"-Lone Person"),'Look-ups'!$Y$4:$AG$35,9,FALSE)</f>
        <v>188.32000000000002</v>
      </c>
      <c r="X54" s="117">
        <f>VLOOKUP(CONCATENATE($G54,"-",$F54,"-Couple Only"),'Look-ups'!$Y$4:$AG$35,5,FALSE)</f>
        <v>153.01000000000002</v>
      </c>
      <c r="Y54">
        <f>VLOOKUP(CONCATENATE($G54,"-",$F54,"-Couple Only"),'Look-ups'!$Y$4:$AG$35,6,FALSE)</f>
        <v>144.45000000000002</v>
      </c>
      <c r="Z54">
        <f>VLOOKUP(CONCATENATE($G54,"-",$F54,"-Couple Only"),'Look-ups'!$Y$4:$AG$35,7,FALSE)</f>
        <v>163.71</v>
      </c>
      <c r="AA54">
        <f>VLOOKUP(CONCATENATE($G54,"-",$F54,"-Couple Only"),'Look-ups'!$Y$4:$AG$35,8,FALSE)</f>
        <v>180.83</v>
      </c>
      <c r="AB54">
        <f>VLOOKUP(CONCATENATE($G54,"-",$F54,"-Couple Only"),'Look-ups'!$Y$4:$AG$35,9,FALSE)</f>
        <v>226.84</v>
      </c>
      <c r="AC54">
        <v>22</v>
      </c>
      <c r="AD54" t="s">
        <v>168</v>
      </c>
      <c r="AE54" s="287">
        <f>VLOOKUP($AD54,'Look-ups'!$A$122:$G$130,5,FALSE)</f>
        <v>8.2785087719298239E-2</v>
      </c>
      <c r="AF54" s="287">
        <f>VLOOKUP($AD54,'Look-ups'!$A$122:$G$130,6,FALSE)</f>
        <v>0.60690789473684215</v>
      </c>
      <c r="AG54" s="287">
        <f>VLOOKUP($AD54,'Look-ups'!$A$122:$G$130,7,FALSE)</f>
        <v>0.31030701754385964</v>
      </c>
      <c r="AH54" s="291">
        <f>VLOOKUP($AC54,'Look-ups'!$A$50:$AO$118,'Look-ups'!$B$133*4,FALSE)*0.277778</f>
        <v>77.059494144222086</v>
      </c>
      <c r="AI54" s="291">
        <f>VLOOKUP($AC54,'Look-ups'!$A$50:$AO$118,'Look-ups'!$B$133*4+1,FALSE)*0.277778</f>
        <v>9.0516858557779365</v>
      </c>
      <c r="AJ54" s="291">
        <f>AE54*$AH54/'Look-ups'!$B$141</f>
        <v>8.339054878868204</v>
      </c>
      <c r="AK54" s="291">
        <f>AF54*$AH54/'Look-ups'!$B$140</f>
        <v>64.065774466514853</v>
      </c>
      <c r="AL54" s="291">
        <f>AG54*$AH54/'Look-ups'!$B$137</f>
        <v>4.5546860573965846</v>
      </c>
      <c r="AM54" s="291">
        <f>AI54/'Look-ups'!$B$136</f>
        <v>1.9056180749006182</v>
      </c>
      <c r="AN54" s="290">
        <f>AJ54*VLOOKUP($AD54,'Look-ups'!$A$123:$M$130,10,FALSE)</f>
        <v>2.2631268379595095</v>
      </c>
      <c r="AO54" s="290">
        <f>AK54*VLOOKUP($AD54,'Look-ups'!$A$123:$M$130,9,FALSE)</f>
        <v>7.3876258033107245</v>
      </c>
      <c r="AP54" s="290">
        <f>(AL54+AM54)*VLOOKUP($AD54,'Look-ups'!$A$123:$M$130,8,FALSE)</f>
        <v>2.0672973223351052</v>
      </c>
      <c r="AQ54" s="290">
        <f t="shared" si="0"/>
        <v>11.718049963605338</v>
      </c>
      <c r="AR54" s="292">
        <f>AJ54*VLOOKUP($AD54,'Look-ups'!$A$123:$M$130,11,FALSE)</f>
        <v>3.6025725797032955E-2</v>
      </c>
      <c r="AS54" s="292">
        <f>AK54*VLOOKUP($AD54,'Look-ups'!$A$123:$M$130,12,FALSE)</f>
        <v>11.885046471035427</v>
      </c>
      <c r="AT54" s="292">
        <f>(AL54+AM54)*VLOOKUP($AD54,'Look-ups'!$A$123:$M$130,13,FALSE)</f>
        <v>1.5840665732392742</v>
      </c>
      <c r="AU54" s="292">
        <f t="shared" si="1"/>
        <v>13.505138770071735</v>
      </c>
    </row>
    <row r="55" spans="1:47" x14ac:dyDescent="0.25">
      <c r="A55">
        <v>2014</v>
      </c>
      <c r="B55" t="s">
        <v>346</v>
      </c>
      <c r="C55">
        <v>63.9849999999999</v>
      </c>
      <c r="D55">
        <v>11230</v>
      </c>
      <c r="E55">
        <v>175.50988512932747</v>
      </c>
      <c r="F55" t="s">
        <v>172</v>
      </c>
      <c r="G55" t="s">
        <v>168</v>
      </c>
      <c r="H55">
        <f>VLOOKUP(CONCATENATE($G55,"-",$F55,"-",$H$2),'Look-ups'!$O$3:$S$34,5,FALSE)*VLOOKUP(CONCATENATE($F55,"-",$H$2,"-",H$3),'Look-ups'!$I$3:$M$24,5,FALSE)</f>
        <v>208</v>
      </c>
      <c r="I55">
        <f>VLOOKUP(CONCATENATE($G55,"-",$F55,"-",$H$2),'Look-ups'!$O$3:$S$34,5,FALSE)*VLOOKUP(CONCATENATE($F55,"-",$H$2,"-",I$3),'Look-ups'!$I$3:$M$24,5,FALSE)</f>
        <v>312</v>
      </c>
      <c r="J55">
        <f>VLOOKUP(CONCATENATE($G55,"-",$F55,"-",$H$2),'Look-ups'!$O$3:$S$34,5,FALSE)*VLOOKUP(CONCATENATE($F55,"-",$H$2,"-",J$3),'Look-ups'!$I$3:$M$24,5,FALSE)</f>
        <v>364</v>
      </c>
      <c r="K55">
        <f>VLOOKUP(CONCATENATE($G55,"-",$F55,"-",$H$2),'Look-ups'!$O$3:$S$34,5,FALSE)*VLOOKUP(CONCATENATE($F55,"-",$H$2,"-",K$3),'Look-ups'!$I$3:$M$24,5,FALSE)</f>
        <v>468</v>
      </c>
      <c r="L55">
        <f>VLOOKUP(CONCATENATE($G55,"-",$F55,"-",$H$2),'Look-ups'!$O$3:$S$34,5,FALSE)*VLOOKUP(CONCATENATE($F55,"-",$H$2,"-",L$3),'Look-ups'!$I$3:$M$24,5,FALSE)</f>
        <v>520</v>
      </c>
      <c r="M55">
        <f>VLOOKUP(CONCATENATE($G55,"-",$F55,"-",$H$2),'Look-ups'!$O$3:$S$34,5,FALSE)*VLOOKUP(CONCATENATE($F55,"-",$H$2,"-",M$3),'Look-ups'!$I$3:$M$24,5,FALSE)</f>
        <v>572</v>
      </c>
      <c r="N55">
        <f>VLOOKUP(CONCATENATE($G55,"-",$F55,"-",$N$2),'Look-ups'!$O$3:$S$34,5,FALSE)*VLOOKUP(CONCATENATE($F55,"-",$N$2,"-",N$3),'Look-ups'!$I$3:$M$24,5,FALSE)</f>
        <v>210</v>
      </c>
      <c r="O55">
        <f>VLOOKUP(CONCATENATE($G55,"-",$F55,"-",$N$2),'Look-ups'!$O$3:$S$34,5,FALSE)*VLOOKUP(CONCATENATE($F55,"-",$N$2,"-",O$3),'Look-ups'!$I$3:$M$24,5,FALSE)</f>
        <v>210</v>
      </c>
      <c r="P55">
        <f>VLOOKUP(CONCATENATE($G55,"-",$F55,"-",$N$2),'Look-ups'!$O$3:$S$34,5,FALSE)*VLOOKUP(CONCATENATE($F55,"-",$N$2,"-",P$3),'Look-ups'!$I$3:$M$24,5,FALSE)</f>
        <v>280</v>
      </c>
      <c r="Q55">
        <f>VLOOKUP(CONCATENATE($G55,"-",$F55,"-",$N$2),'Look-ups'!$O$3:$S$34,5,FALSE)*VLOOKUP(CONCATENATE($F55,"-",$N$2,"-",Q$3),'Look-ups'!$I$3:$M$24,5,FALSE)</f>
        <v>360</v>
      </c>
      <c r="R55">
        <f>VLOOKUP(CONCATENATE($G55,"-",$F55,"-",$N$2),'Look-ups'!$O$3:$S$34,5,FALSE)*VLOOKUP(CONCATENATE($F55,"-",$N$2,"-",R$3),'Look-ups'!$I$3:$M$24,5,FALSE)</f>
        <v>410</v>
      </c>
      <c r="S55" s="117">
        <f>VLOOKUP(CONCATENATE($G55,"-",$F55,"-Lone Person"),'Look-ups'!$Y$4:$AG$35,5,FALSE)</f>
        <v>94.160000000000011</v>
      </c>
      <c r="T55">
        <f>VLOOKUP(CONCATENATE($G55,"-",$F55,"-Lone Person"),'Look-ups'!$Y$4:$AG$35,6,FALSE)</f>
        <v>134.82000000000002</v>
      </c>
      <c r="U55">
        <f>VLOOKUP(CONCATENATE($G55,"-",$F55,"-Lone Person"),'Look-ups'!$Y$4:$AG$35,7,FALSE)</f>
        <v>161.57000000000002</v>
      </c>
      <c r="V55">
        <f>VLOOKUP(CONCATENATE($G55,"-",$F55,"-Lone Person"),'Look-ups'!$Y$4:$AG$35,8,FALSE)</f>
        <v>197.95000000000002</v>
      </c>
      <c r="W55">
        <f>VLOOKUP(CONCATENATE($G55,"-",$F55,"-Lone Person"),'Look-ups'!$Y$4:$AG$35,9,FALSE)</f>
        <v>188.32000000000002</v>
      </c>
      <c r="X55" s="117">
        <f>VLOOKUP(CONCATENATE($G55,"-",$F55,"-Couple Only"),'Look-ups'!$Y$4:$AG$35,5,FALSE)</f>
        <v>153.01000000000002</v>
      </c>
      <c r="Y55">
        <f>VLOOKUP(CONCATENATE($G55,"-",$F55,"-Couple Only"),'Look-ups'!$Y$4:$AG$35,6,FALSE)</f>
        <v>144.45000000000002</v>
      </c>
      <c r="Z55">
        <f>VLOOKUP(CONCATENATE($G55,"-",$F55,"-Couple Only"),'Look-ups'!$Y$4:$AG$35,7,FALSE)</f>
        <v>163.71</v>
      </c>
      <c r="AA55">
        <f>VLOOKUP(CONCATENATE($G55,"-",$F55,"-Couple Only"),'Look-ups'!$Y$4:$AG$35,8,FALSE)</f>
        <v>180.83</v>
      </c>
      <c r="AB55">
        <f>VLOOKUP(CONCATENATE($G55,"-",$F55,"-Couple Only"),'Look-ups'!$Y$4:$AG$35,9,FALSE)</f>
        <v>226.84</v>
      </c>
      <c r="AC55">
        <v>63</v>
      </c>
      <c r="AD55" t="s">
        <v>168</v>
      </c>
      <c r="AE55" s="287">
        <f>VLOOKUP($AD55,'Look-ups'!$A$122:$G$130,5,FALSE)</f>
        <v>8.2785087719298239E-2</v>
      </c>
      <c r="AF55" s="287">
        <f>VLOOKUP($AD55,'Look-ups'!$A$122:$G$130,6,FALSE)</f>
        <v>0.60690789473684215</v>
      </c>
      <c r="AG55" s="287">
        <f>VLOOKUP($AD55,'Look-ups'!$A$122:$G$130,7,FALSE)</f>
        <v>0.31030701754385964</v>
      </c>
      <c r="AH55" s="291">
        <f>VLOOKUP($AC55,'Look-ups'!$A$50:$AO$118,'Look-ups'!$B$133*4,FALSE)*0.277778</f>
        <v>75.832796960147022</v>
      </c>
      <c r="AI55" s="291">
        <f>VLOOKUP($AC55,'Look-ups'!$A$50:$AO$118,'Look-ups'!$B$133*4+1,FALSE)*0.277778</f>
        <v>6.3894910398529809</v>
      </c>
      <c r="AJ55" s="291">
        <f>AE55*$AH55/'Look-ups'!$B$141</f>
        <v>8.2063068605823588</v>
      </c>
      <c r="AK55" s="291">
        <f>AF55*$AH55/'Look-ups'!$B$140</f>
        <v>63.045922130259221</v>
      </c>
      <c r="AL55" s="291">
        <f>AG55*$AH55/'Look-ups'!$B$137</f>
        <v>4.4821807727071024</v>
      </c>
      <c r="AM55" s="291">
        <f>AI55/'Look-ups'!$B$136</f>
        <v>1.3451560083901013</v>
      </c>
      <c r="AN55" s="290">
        <f>AJ55*VLOOKUP($AD55,'Look-ups'!$A$123:$M$130,10,FALSE)</f>
        <v>2.227100500774712</v>
      </c>
      <c r="AO55" s="290">
        <f>AK55*VLOOKUP($AD55,'Look-ups'!$A$123:$M$130,9,FALSE)</f>
        <v>7.2700234251668885</v>
      </c>
      <c r="AP55" s="290">
        <f>(AL55+AM55)*VLOOKUP($AD55,'Look-ups'!$A$123:$M$130,8,FALSE)</f>
        <v>1.8647477699511052</v>
      </c>
      <c r="AQ55" s="290">
        <f t="shared" si="0"/>
        <v>11.361871695892706</v>
      </c>
      <c r="AR55" s="292">
        <f>AJ55*VLOOKUP($AD55,'Look-ups'!$A$123:$M$130,11,FALSE)</f>
        <v>3.5452238300388197E-2</v>
      </c>
      <c r="AS55" s="292">
        <f>AK55*VLOOKUP($AD55,'Look-ups'!$A$123:$M$130,12,FALSE)</f>
        <v>11.695850406351507</v>
      </c>
      <c r="AT55" s="292">
        <f>(AL55+AM55)*VLOOKUP($AD55,'Look-ups'!$A$123:$M$130,13,FALSE)</f>
        <v>1.4288629787250344</v>
      </c>
      <c r="AU55" s="292">
        <f t="shared" si="1"/>
        <v>13.16016562337693</v>
      </c>
    </row>
    <row r="56" spans="1:47" x14ac:dyDescent="0.25">
      <c r="A56">
        <v>2015</v>
      </c>
      <c r="B56" t="s">
        <v>347</v>
      </c>
      <c r="C56">
        <v>45.6023</v>
      </c>
      <c r="D56">
        <v>15301</v>
      </c>
      <c r="E56">
        <v>335.53132188508039</v>
      </c>
      <c r="F56" t="s">
        <v>172</v>
      </c>
      <c r="G56" t="s">
        <v>168</v>
      </c>
      <c r="H56">
        <f>VLOOKUP(CONCATENATE($G56,"-",$F56,"-",$H$2),'Look-ups'!$O$3:$S$34,5,FALSE)*VLOOKUP(CONCATENATE($F56,"-",$H$2,"-",H$3),'Look-ups'!$I$3:$M$24,5,FALSE)</f>
        <v>208</v>
      </c>
      <c r="I56">
        <f>VLOOKUP(CONCATENATE($G56,"-",$F56,"-",$H$2),'Look-ups'!$O$3:$S$34,5,FALSE)*VLOOKUP(CONCATENATE($F56,"-",$H$2,"-",I$3),'Look-ups'!$I$3:$M$24,5,FALSE)</f>
        <v>312</v>
      </c>
      <c r="J56">
        <f>VLOOKUP(CONCATENATE($G56,"-",$F56,"-",$H$2),'Look-ups'!$O$3:$S$34,5,FALSE)*VLOOKUP(CONCATENATE($F56,"-",$H$2,"-",J$3),'Look-ups'!$I$3:$M$24,5,FALSE)</f>
        <v>364</v>
      </c>
      <c r="K56">
        <f>VLOOKUP(CONCATENATE($G56,"-",$F56,"-",$H$2),'Look-ups'!$O$3:$S$34,5,FALSE)*VLOOKUP(CONCATENATE($F56,"-",$H$2,"-",K$3),'Look-ups'!$I$3:$M$24,5,FALSE)</f>
        <v>468</v>
      </c>
      <c r="L56">
        <f>VLOOKUP(CONCATENATE($G56,"-",$F56,"-",$H$2),'Look-ups'!$O$3:$S$34,5,FALSE)*VLOOKUP(CONCATENATE($F56,"-",$H$2,"-",L$3),'Look-ups'!$I$3:$M$24,5,FALSE)</f>
        <v>520</v>
      </c>
      <c r="M56">
        <f>VLOOKUP(CONCATENATE($G56,"-",$F56,"-",$H$2),'Look-ups'!$O$3:$S$34,5,FALSE)*VLOOKUP(CONCATENATE($F56,"-",$H$2,"-",M$3),'Look-ups'!$I$3:$M$24,5,FALSE)</f>
        <v>572</v>
      </c>
      <c r="N56">
        <f>VLOOKUP(CONCATENATE($G56,"-",$F56,"-",$N$2),'Look-ups'!$O$3:$S$34,5,FALSE)*VLOOKUP(CONCATENATE($F56,"-",$N$2,"-",N$3),'Look-ups'!$I$3:$M$24,5,FALSE)</f>
        <v>210</v>
      </c>
      <c r="O56">
        <f>VLOOKUP(CONCATENATE($G56,"-",$F56,"-",$N$2),'Look-ups'!$O$3:$S$34,5,FALSE)*VLOOKUP(CONCATENATE($F56,"-",$N$2,"-",O$3),'Look-ups'!$I$3:$M$24,5,FALSE)</f>
        <v>210</v>
      </c>
      <c r="P56">
        <f>VLOOKUP(CONCATENATE($G56,"-",$F56,"-",$N$2),'Look-ups'!$O$3:$S$34,5,FALSE)*VLOOKUP(CONCATENATE($F56,"-",$N$2,"-",P$3),'Look-ups'!$I$3:$M$24,5,FALSE)</f>
        <v>280</v>
      </c>
      <c r="Q56">
        <f>VLOOKUP(CONCATENATE($G56,"-",$F56,"-",$N$2),'Look-ups'!$O$3:$S$34,5,FALSE)*VLOOKUP(CONCATENATE($F56,"-",$N$2,"-",Q$3),'Look-ups'!$I$3:$M$24,5,FALSE)</f>
        <v>360</v>
      </c>
      <c r="R56">
        <f>VLOOKUP(CONCATENATE($G56,"-",$F56,"-",$N$2),'Look-ups'!$O$3:$S$34,5,FALSE)*VLOOKUP(CONCATENATE($F56,"-",$N$2,"-",R$3),'Look-ups'!$I$3:$M$24,5,FALSE)</f>
        <v>410</v>
      </c>
      <c r="S56" s="117">
        <f>VLOOKUP(CONCATENATE($G56,"-",$F56,"-Lone Person"),'Look-ups'!$Y$4:$AG$35,5,FALSE)</f>
        <v>94.160000000000011</v>
      </c>
      <c r="T56">
        <f>VLOOKUP(CONCATENATE($G56,"-",$F56,"-Lone Person"),'Look-ups'!$Y$4:$AG$35,6,FALSE)</f>
        <v>134.82000000000002</v>
      </c>
      <c r="U56">
        <f>VLOOKUP(CONCATENATE($G56,"-",$F56,"-Lone Person"),'Look-ups'!$Y$4:$AG$35,7,FALSE)</f>
        <v>161.57000000000002</v>
      </c>
      <c r="V56">
        <f>VLOOKUP(CONCATENATE($G56,"-",$F56,"-Lone Person"),'Look-ups'!$Y$4:$AG$35,8,FALSE)</f>
        <v>197.95000000000002</v>
      </c>
      <c r="W56">
        <f>VLOOKUP(CONCATENATE($G56,"-",$F56,"-Lone Person"),'Look-ups'!$Y$4:$AG$35,9,FALSE)</f>
        <v>188.32000000000002</v>
      </c>
      <c r="X56" s="117">
        <f>VLOOKUP(CONCATENATE($G56,"-",$F56,"-Couple Only"),'Look-ups'!$Y$4:$AG$35,5,FALSE)</f>
        <v>153.01000000000002</v>
      </c>
      <c r="Y56">
        <f>VLOOKUP(CONCATENATE($G56,"-",$F56,"-Couple Only"),'Look-ups'!$Y$4:$AG$35,6,FALSE)</f>
        <v>144.45000000000002</v>
      </c>
      <c r="Z56">
        <f>VLOOKUP(CONCATENATE($G56,"-",$F56,"-Couple Only"),'Look-ups'!$Y$4:$AG$35,7,FALSE)</f>
        <v>163.71</v>
      </c>
      <c r="AA56">
        <f>VLOOKUP(CONCATENATE($G56,"-",$F56,"-Couple Only"),'Look-ups'!$Y$4:$AG$35,8,FALSE)</f>
        <v>180.83</v>
      </c>
      <c r="AB56">
        <f>VLOOKUP(CONCATENATE($G56,"-",$F56,"-Couple Only"),'Look-ups'!$Y$4:$AG$35,9,FALSE)</f>
        <v>226.84</v>
      </c>
      <c r="AC56">
        <v>22</v>
      </c>
      <c r="AD56" t="s">
        <v>168</v>
      </c>
      <c r="AE56" s="287">
        <f>VLOOKUP($AD56,'Look-ups'!$A$122:$G$130,5,FALSE)</f>
        <v>8.2785087719298239E-2</v>
      </c>
      <c r="AF56" s="287">
        <f>VLOOKUP($AD56,'Look-ups'!$A$122:$G$130,6,FALSE)</f>
        <v>0.60690789473684215</v>
      </c>
      <c r="AG56" s="287">
        <f>VLOOKUP($AD56,'Look-ups'!$A$122:$G$130,7,FALSE)</f>
        <v>0.31030701754385964</v>
      </c>
      <c r="AH56" s="291">
        <f>VLOOKUP($AC56,'Look-ups'!$A$50:$AO$118,'Look-ups'!$B$133*4,FALSE)*0.277778</f>
        <v>77.059494144222086</v>
      </c>
      <c r="AI56" s="291">
        <f>VLOOKUP($AC56,'Look-ups'!$A$50:$AO$118,'Look-ups'!$B$133*4+1,FALSE)*0.277778</f>
        <v>9.0516858557779365</v>
      </c>
      <c r="AJ56" s="291">
        <f>AE56*$AH56/'Look-ups'!$B$141</f>
        <v>8.339054878868204</v>
      </c>
      <c r="AK56" s="291">
        <f>AF56*$AH56/'Look-ups'!$B$140</f>
        <v>64.065774466514853</v>
      </c>
      <c r="AL56" s="291">
        <f>AG56*$AH56/'Look-ups'!$B$137</f>
        <v>4.5546860573965846</v>
      </c>
      <c r="AM56" s="291">
        <f>AI56/'Look-ups'!$B$136</f>
        <v>1.9056180749006182</v>
      </c>
      <c r="AN56" s="290">
        <f>AJ56*VLOOKUP($AD56,'Look-ups'!$A$123:$M$130,10,FALSE)</f>
        <v>2.2631268379595095</v>
      </c>
      <c r="AO56" s="290">
        <f>AK56*VLOOKUP($AD56,'Look-ups'!$A$123:$M$130,9,FALSE)</f>
        <v>7.3876258033107245</v>
      </c>
      <c r="AP56" s="290">
        <f>(AL56+AM56)*VLOOKUP($AD56,'Look-ups'!$A$123:$M$130,8,FALSE)</f>
        <v>2.0672973223351052</v>
      </c>
      <c r="AQ56" s="290">
        <f t="shared" si="0"/>
        <v>11.718049963605338</v>
      </c>
      <c r="AR56" s="292">
        <f>AJ56*VLOOKUP($AD56,'Look-ups'!$A$123:$M$130,11,FALSE)</f>
        <v>3.6025725797032955E-2</v>
      </c>
      <c r="AS56" s="292">
        <f>AK56*VLOOKUP($AD56,'Look-ups'!$A$123:$M$130,12,FALSE)</f>
        <v>11.885046471035427</v>
      </c>
      <c r="AT56" s="292">
        <f>(AL56+AM56)*VLOOKUP($AD56,'Look-ups'!$A$123:$M$130,13,FALSE)</f>
        <v>1.5840665732392742</v>
      </c>
      <c r="AU56" s="292">
        <f t="shared" si="1"/>
        <v>13.505138770071735</v>
      </c>
    </row>
    <row r="57" spans="1:47" x14ac:dyDescent="0.25">
      <c r="A57">
        <v>2016</v>
      </c>
      <c r="B57" t="s">
        <v>348</v>
      </c>
      <c r="C57">
        <v>248.90549999999899</v>
      </c>
      <c r="D57">
        <v>53841</v>
      </c>
      <c r="E57">
        <v>216.31100960002979</v>
      </c>
      <c r="F57" t="s">
        <v>172</v>
      </c>
      <c r="G57" t="s">
        <v>168</v>
      </c>
      <c r="H57">
        <f>VLOOKUP(CONCATENATE($G57,"-",$F57,"-",$H$2),'Look-ups'!$O$3:$S$34,5,FALSE)*VLOOKUP(CONCATENATE($F57,"-",$H$2,"-",H$3),'Look-ups'!$I$3:$M$24,5,FALSE)</f>
        <v>208</v>
      </c>
      <c r="I57">
        <f>VLOOKUP(CONCATENATE($G57,"-",$F57,"-",$H$2),'Look-ups'!$O$3:$S$34,5,FALSE)*VLOOKUP(CONCATENATE($F57,"-",$H$2,"-",I$3),'Look-ups'!$I$3:$M$24,5,FALSE)</f>
        <v>312</v>
      </c>
      <c r="J57">
        <f>VLOOKUP(CONCATENATE($G57,"-",$F57,"-",$H$2),'Look-ups'!$O$3:$S$34,5,FALSE)*VLOOKUP(CONCATENATE($F57,"-",$H$2,"-",J$3),'Look-ups'!$I$3:$M$24,5,FALSE)</f>
        <v>364</v>
      </c>
      <c r="K57">
        <f>VLOOKUP(CONCATENATE($G57,"-",$F57,"-",$H$2),'Look-ups'!$O$3:$S$34,5,FALSE)*VLOOKUP(CONCATENATE($F57,"-",$H$2,"-",K$3),'Look-ups'!$I$3:$M$24,5,FALSE)</f>
        <v>468</v>
      </c>
      <c r="L57">
        <f>VLOOKUP(CONCATENATE($G57,"-",$F57,"-",$H$2),'Look-ups'!$O$3:$S$34,5,FALSE)*VLOOKUP(CONCATENATE($F57,"-",$H$2,"-",L$3),'Look-ups'!$I$3:$M$24,5,FALSE)</f>
        <v>520</v>
      </c>
      <c r="M57">
        <f>VLOOKUP(CONCATENATE($G57,"-",$F57,"-",$H$2),'Look-ups'!$O$3:$S$34,5,FALSE)*VLOOKUP(CONCATENATE($F57,"-",$H$2,"-",M$3),'Look-ups'!$I$3:$M$24,5,FALSE)</f>
        <v>572</v>
      </c>
      <c r="N57">
        <f>VLOOKUP(CONCATENATE($G57,"-",$F57,"-",$N$2),'Look-ups'!$O$3:$S$34,5,FALSE)*VLOOKUP(CONCATENATE($F57,"-",$N$2,"-",N$3),'Look-ups'!$I$3:$M$24,5,FALSE)</f>
        <v>210</v>
      </c>
      <c r="O57">
        <f>VLOOKUP(CONCATENATE($G57,"-",$F57,"-",$N$2),'Look-ups'!$O$3:$S$34,5,FALSE)*VLOOKUP(CONCATENATE($F57,"-",$N$2,"-",O$3),'Look-ups'!$I$3:$M$24,5,FALSE)</f>
        <v>210</v>
      </c>
      <c r="P57">
        <f>VLOOKUP(CONCATENATE($G57,"-",$F57,"-",$N$2),'Look-ups'!$O$3:$S$34,5,FALSE)*VLOOKUP(CONCATENATE($F57,"-",$N$2,"-",P$3),'Look-ups'!$I$3:$M$24,5,FALSE)</f>
        <v>280</v>
      </c>
      <c r="Q57">
        <f>VLOOKUP(CONCATENATE($G57,"-",$F57,"-",$N$2),'Look-ups'!$O$3:$S$34,5,FALSE)*VLOOKUP(CONCATENATE($F57,"-",$N$2,"-",Q$3),'Look-ups'!$I$3:$M$24,5,FALSE)</f>
        <v>360</v>
      </c>
      <c r="R57">
        <f>VLOOKUP(CONCATENATE($G57,"-",$F57,"-",$N$2),'Look-ups'!$O$3:$S$34,5,FALSE)*VLOOKUP(CONCATENATE($F57,"-",$N$2,"-",R$3),'Look-ups'!$I$3:$M$24,5,FALSE)</f>
        <v>410</v>
      </c>
      <c r="S57" s="117">
        <f>VLOOKUP(CONCATENATE($G57,"-",$F57,"-Lone Person"),'Look-ups'!$Y$4:$AG$35,5,FALSE)</f>
        <v>94.160000000000011</v>
      </c>
      <c r="T57">
        <f>VLOOKUP(CONCATENATE($G57,"-",$F57,"-Lone Person"),'Look-ups'!$Y$4:$AG$35,6,FALSE)</f>
        <v>134.82000000000002</v>
      </c>
      <c r="U57">
        <f>VLOOKUP(CONCATENATE($G57,"-",$F57,"-Lone Person"),'Look-ups'!$Y$4:$AG$35,7,FALSE)</f>
        <v>161.57000000000002</v>
      </c>
      <c r="V57">
        <f>VLOOKUP(CONCATENATE($G57,"-",$F57,"-Lone Person"),'Look-ups'!$Y$4:$AG$35,8,FALSE)</f>
        <v>197.95000000000002</v>
      </c>
      <c r="W57">
        <f>VLOOKUP(CONCATENATE($G57,"-",$F57,"-Lone Person"),'Look-ups'!$Y$4:$AG$35,9,FALSE)</f>
        <v>188.32000000000002</v>
      </c>
      <c r="X57" s="117">
        <f>VLOOKUP(CONCATENATE($G57,"-",$F57,"-Couple Only"),'Look-ups'!$Y$4:$AG$35,5,FALSE)</f>
        <v>153.01000000000002</v>
      </c>
      <c r="Y57">
        <f>VLOOKUP(CONCATENATE($G57,"-",$F57,"-Couple Only"),'Look-ups'!$Y$4:$AG$35,6,FALSE)</f>
        <v>144.45000000000002</v>
      </c>
      <c r="Z57">
        <f>VLOOKUP(CONCATENATE($G57,"-",$F57,"-Couple Only"),'Look-ups'!$Y$4:$AG$35,7,FALSE)</f>
        <v>163.71</v>
      </c>
      <c r="AA57">
        <f>VLOOKUP(CONCATENATE($G57,"-",$F57,"-Couple Only"),'Look-ups'!$Y$4:$AG$35,8,FALSE)</f>
        <v>180.83</v>
      </c>
      <c r="AB57">
        <f>VLOOKUP(CONCATENATE($G57,"-",$F57,"-Couple Only"),'Look-ups'!$Y$4:$AG$35,9,FALSE)</f>
        <v>226.84</v>
      </c>
      <c r="AC57">
        <v>66</v>
      </c>
      <c r="AD57" t="s">
        <v>168</v>
      </c>
      <c r="AE57" s="287">
        <f>VLOOKUP($AD57,'Look-ups'!$A$122:$G$130,5,FALSE)</f>
        <v>8.2785087719298239E-2</v>
      </c>
      <c r="AF57" s="287">
        <f>VLOOKUP($AD57,'Look-ups'!$A$122:$G$130,6,FALSE)</f>
        <v>0.60690789473684215</v>
      </c>
      <c r="AG57" s="287">
        <f>VLOOKUP($AD57,'Look-ups'!$A$122:$G$130,7,FALSE)</f>
        <v>0.31030701754385964</v>
      </c>
      <c r="AH57" s="291">
        <f>VLOOKUP($AC57,'Look-ups'!$A$50:$AO$118,'Look-ups'!$B$133*4,FALSE)*0.277778</f>
        <v>110.95887229220909</v>
      </c>
      <c r="AI57" s="291">
        <f>VLOOKUP($AC57,'Look-ups'!$A$50:$AO$118,'Look-ups'!$B$133*4+1,FALSE)*0.277778</f>
        <v>12.930115707790923</v>
      </c>
      <c r="AJ57" s="291">
        <f>AE57*$AH57/'Look-ups'!$B$141</f>
        <v>12.007503236529336</v>
      </c>
      <c r="AK57" s="291">
        <f>AF57*$AH57/'Look-ups'!$B$140</f>
        <v>92.24906244553253</v>
      </c>
      <c r="AL57" s="291">
        <f>AG57*$AH57/'Look-ups'!$B$137</f>
        <v>6.55834604400484</v>
      </c>
      <c r="AM57" s="291">
        <f>AI57/'Look-ups'!$B$136</f>
        <v>2.722129622692826</v>
      </c>
      <c r="AN57" s="290">
        <f>AJ57*VLOOKUP($AD57,'Look-ups'!$A$123:$M$130,10,FALSE)</f>
        <v>3.2587029616914331</v>
      </c>
      <c r="AO57" s="290">
        <f>AK57*VLOOKUP($AD57,'Look-ups'!$A$123:$M$130,9,FALSE)</f>
        <v>10.637529316219188</v>
      </c>
      <c r="AP57" s="290">
        <f>(AL57+AM57)*VLOOKUP($AD57,'Look-ups'!$A$123:$M$130,8,FALSE)</f>
        <v>2.969752213343253</v>
      </c>
      <c r="AQ57" s="290">
        <f t="shared" si="0"/>
        <v>16.865984491253876</v>
      </c>
      <c r="AR57" s="292">
        <f>AJ57*VLOOKUP($AD57,'Look-ups'!$A$123:$M$130,11,FALSE)</f>
        <v>5.1873866450067335E-2</v>
      </c>
      <c r="AS57" s="292">
        <f>AK57*VLOOKUP($AD57,'Look-ups'!$A$123:$M$130,12,FALSE)</f>
        <v>17.113418251856903</v>
      </c>
      <c r="AT57" s="292">
        <f>(AL57+AM57)*VLOOKUP($AD57,'Look-ups'!$A$123:$M$130,13,FALSE)</f>
        <v>2.2755726334742676</v>
      </c>
      <c r="AU57" s="292">
        <f t="shared" si="1"/>
        <v>19.440864751781238</v>
      </c>
    </row>
    <row r="58" spans="1:47" x14ac:dyDescent="0.25">
      <c r="A58">
        <v>2017</v>
      </c>
      <c r="B58" t="s">
        <v>349</v>
      </c>
      <c r="C58">
        <v>126.590299999999</v>
      </c>
      <c r="D58">
        <v>11186</v>
      </c>
      <c r="E58">
        <v>88.363800385970237</v>
      </c>
      <c r="F58" t="s">
        <v>172</v>
      </c>
      <c r="G58" t="s">
        <v>168</v>
      </c>
      <c r="H58">
        <f>VLOOKUP(CONCATENATE($G58,"-",$F58,"-",$H$2),'Look-ups'!$O$3:$S$34,5,FALSE)*VLOOKUP(CONCATENATE($F58,"-",$H$2,"-",H$3),'Look-ups'!$I$3:$M$24,5,FALSE)</f>
        <v>208</v>
      </c>
      <c r="I58">
        <f>VLOOKUP(CONCATENATE($G58,"-",$F58,"-",$H$2),'Look-ups'!$O$3:$S$34,5,FALSE)*VLOOKUP(CONCATENATE($F58,"-",$H$2,"-",I$3),'Look-ups'!$I$3:$M$24,5,FALSE)</f>
        <v>312</v>
      </c>
      <c r="J58">
        <f>VLOOKUP(CONCATENATE($G58,"-",$F58,"-",$H$2),'Look-ups'!$O$3:$S$34,5,FALSE)*VLOOKUP(CONCATENATE($F58,"-",$H$2,"-",J$3),'Look-ups'!$I$3:$M$24,5,FALSE)</f>
        <v>364</v>
      </c>
      <c r="K58">
        <f>VLOOKUP(CONCATENATE($G58,"-",$F58,"-",$H$2),'Look-ups'!$O$3:$S$34,5,FALSE)*VLOOKUP(CONCATENATE($F58,"-",$H$2,"-",K$3),'Look-ups'!$I$3:$M$24,5,FALSE)</f>
        <v>468</v>
      </c>
      <c r="L58">
        <f>VLOOKUP(CONCATENATE($G58,"-",$F58,"-",$H$2),'Look-ups'!$O$3:$S$34,5,FALSE)*VLOOKUP(CONCATENATE($F58,"-",$H$2,"-",L$3),'Look-ups'!$I$3:$M$24,5,FALSE)</f>
        <v>520</v>
      </c>
      <c r="M58">
        <f>VLOOKUP(CONCATENATE($G58,"-",$F58,"-",$H$2),'Look-ups'!$O$3:$S$34,5,FALSE)*VLOOKUP(CONCATENATE($F58,"-",$H$2,"-",M$3),'Look-ups'!$I$3:$M$24,5,FALSE)</f>
        <v>572</v>
      </c>
      <c r="N58">
        <f>VLOOKUP(CONCATENATE($G58,"-",$F58,"-",$N$2),'Look-ups'!$O$3:$S$34,5,FALSE)*VLOOKUP(CONCATENATE($F58,"-",$N$2,"-",N$3),'Look-ups'!$I$3:$M$24,5,FALSE)</f>
        <v>210</v>
      </c>
      <c r="O58">
        <f>VLOOKUP(CONCATENATE($G58,"-",$F58,"-",$N$2),'Look-ups'!$O$3:$S$34,5,FALSE)*VLOOKUP(CONCATENATE($F58,"-",$N$2,"-",O$3),'Look-ups'!$I$3:$M$24,5,FALSE)</f>
        <v>210</v>
      </c>
      <c r="P58">
        <f>VLOOKUP(CONCATENATE($G58,"-",$F58,"-",$N$2),'Look-ups'!$O$3:$S$34,5,FALSE)*VLOOKUP(CONCATENATE($F58,"-",$N$2,"-",P$3),'Look-ups'!$I$3:$M$24,5,FALSE)</f>
        <v>280</v>
      </c>
      <c r="Q58">
        <f>VLOOKUP(CONCATENATE($G58,"-",$F58,"-",$N$2),'Look-ups'!$O$3:$S$34,5,FALSE)*VLOOKUP(CONCATENATE($F58,"-",$N$2,"-",Q$3),'Look-ups'!$I$3:$M$24,5,FALSE)</f>
        <v>360</v>
      </c>
      <c r="R58">
        <f>VLOOKUP(CONCATENATE($G58,"-",$F58,"-",$N$2),'Look-ups'!$O$3:$S$34,5,FALSE)*VLOOKUP(CONCATENATE($F58,"-",$N$2,"-",R$3),'Look-ups'!$I$3:$M$24,5,FALSE)</f>
        <v>410</v>
      </c>
      <c r="S58" s="117">
        <f>VLOOKUP(CONCATENATE($G58,"-",$F58,"-Lone Person"),'Look-ups'!$Y$4:$AG$35,5,FALSE)</f>
        <v>94.160000000000011</v>
      </c>
      <c r="T58">
        <f>VLOOKUP(CONCATENATE($G58,"-",$F58,"-Lone Person"),'Look-ups'!$Y$4:$AG$35,6,FALSE)</f>
        <v>134.82000000000002</v>
      </c>
      <c r="U58">
        <f>VLOOKUP(CONCATENATE($G58,"-",$F58,"-Lone Person"),'Look-ups'!$Y$4:$AG$35,7,FALSE)</f>
        <v>161.57000000000002</v>
      </c>
      <c r="V58">
        <f>VLOOKUP(CONCATENATE($G58,"-",$F58,"-Lone Person"),'Look-ups'!$Y$4:$AG$35,8,FALSE)</f>
        <v>197.95000000000002</v>
      </c>
      <c r="W58">
        <f>VLOOKUP(CONCATENATE($G58,"-",$F58,"-Lone Person"),'Look-ups'!$Y$4:$AG$35,9,FALSE)</f>
        <v>188.32000000000002</v>
      </c>
      <c r="X58" s="117">
        <f>VLOOKUP(CONCATENATE($G58,"-",$F58,"-Couple Only"),'Look-ups'!$Y$4:$AG$35,5,FALSE)</f>
        <v>153.01000000000002</v>
      </c>
      <c r="Y58">
        <f>VLOOKUP(CONCATENATE($G58,"-",$F58,"-Couple Only"),'Look-ups'!$Y$4:$AG$35,6,FALSE)</f>
        <v>144.45000000000002</v>
      </c>
      <c r="Z58">
        <f>VLOOKUP(CONCATENATE($G58,"-",$F58,"-Couple Only"),'Look-ups'!$Y$4:$AG$35,7,FALSE)</f>
        <v>163.71</v>
      </c>
      <c r="AA58">
        <f>VLOOKUP(CONCATENATE($G58,"-",$F58,"-Couple Only"),'Look-ups'!$Y$4:$AG$35,8,FALSE)</f>
        <v>180.83</v>
      </c>
      <c r="AB58">
        <f>VLOOKUP(CONCATENATE($G58,"-",$F58,"-Couple Only"),'Look-ups'!$Y$4:$AG$35,9,FALSE)</f>
        <v>226.84</v>
      </c>
      <c r="AC58">
        <v>27</v>
      </c>
      <c r="AD58" t="s">
        <v>168</v>
      </c>
      <c r="AE58" s="287">
        <f>VLOOKUP($AD58,'Look-ups'!$A$122:$G$130,5,FALSE)</f>
        <v>8.2785087719298239E-2</v>
      </c>
      <c r="AF58" s="287">
        <f>VLOOKUP($AD58,'Look-ups'!$A$122:$G$130,6,FALSE)</f>
        <v>0.60690789473684215</v>
      </c>
      <c r="AG58" s="287">
        <f>VLOOKUP($AD58,'Look-ups'!$A$122:$G$130,7,FALSE)</f>
        <v>0.31030701754385964</v>
      </c>
      <c r="AH58" s="291">
        <f>VLOOKUP($AC58,'Look-ups'!$A$50:$AO$118,'Look-ups'!$B$133*4,FALSE)*0.277778</f>
        <v>41.490850904412511</v>
      </c>
      <c r="AI58" s="291">
        <f>VLOOKUP($AC58,'Look-ups'!$A$50:$AO$118,'Look-ups'!$B$133*4+1,FALSE)*0.277778</f>
        <v>31.564763095587505</v>
      </c>
      <c r="AJ58" s="291">
        <f>AE58*$AH58/'Look-ups'!$B$141</f>
        <v>4.4899656623138755</v>
      </c>
      <c r="AK58" s="291">
        <f>AF58*$AH58/'Look-ups'!$B$140</f>
        <v>34.494691744160548</v>
      </c>
      <c r="AL58" s="291">
        <f>AG58*$AH58/'Look-ups'!$B$137</f>
        <v>2.4523623237152758</v>
      </c>
      <c r="AM58" s="291">
        <f>AI58/'Look-ups'!$B$136</f>
        <v>6.6452132832815805</v>
      </c>
      <c r="AN58" s="290">
        <f>AJ58*VLOOKUP($AD58,'Look-ups'!$A$123:$M$130,10,FALSE)</f>
        <v>1.2185267922446266</v>
      </c>
      <c r="AO58" s="290">
        <f>AK58*VLOOKUP($AD58,'Look-ups'!$A$123:$M$130,9,FALSE)</f>
        <v>3.9776913169074928</v>
      </c>
      <c r="AP58" s="290">
        <f>(AL58+AM58)*VLOOKUP($AD58,'Look-ups'!$A$123:$M$130,8,FALSE)</f>
        <v>2.9112241942389936</v>
      </c>
      <c r="AQ58" s="290">
        <f t="shared" si="0"/>
        <v>8.1074423033911138</v>
      </c>
      <c r="AR58" s="292">
        <f>AJ58*VLOOKUP($AD58,'Look-ups'!$A$123:$M$130,11,FALSE)</f>
        <v>1.9397194782649854E-2</v>
      </c>
      <c r="AS58" s="292">
        <f>AK58*VLOOKUP($AD58,'Look-ups'!$A$123:$M$130,12,FALSE)</f>
        <v>6.3992204542484545</v>
      </c>
      <c r="AT58" s="292">
        <f>(AL58+AM58)*VLOOKUP($AD58,'Look-ups'!$A$123:$M$130,13,FALSE)</f>
        <v>2.2307255388356291</v>
      </c>
      <c r="AU58" s="292">
        <f t="shared" si="1"/>
        <v>8.6493431878667337</v>
      </c>
    </row>
    <row r="59" spans="1:47" x14ac:dyDescent="0.25">
      <c r="A59">
        <v>2018</v>
      </c>
      <c r="B59" t="s">
        <v>350</v>
      </c>
      <c r="C59">
        <v>235.15889999999899</v>
      </c>
      <c r="D59">
        <v>43252</v>
      </c>
      <c r="E59">
        <v>183.92669807521716</v>
      </c>
      <c r="F59" t="s">
        <v>172</v>
      </c>
      <c r="G59" t="s">
        <v>168</v>
      </c>
      <c r="H59">
        <f>VLOOKUP(CONCATENATE($G59,"-",$F59,"-",$H$2),'Look-ups'!$O$3:$S$34,5,FALSE)*VLOOKUP(CONCATENATE($F59,"-",$H$2,"-",H$3),'Look-ups'!$I$3:$M$24,5,FALSE)</f>
        <v>208</v>
      </c>
      <c r="I59">
        <f>VLOOKUP(CONCATENATE($G59,"-",$F59,"-",$H$2),'Look-ups'!$O$3:$S$34,5,FALSE)*VLOOKUP(CONCATENATE($F59,"-",$H$2,"-",I$3),'Look-ups'!$I$3:$M$24,5,FALSE)</f>
        <v>312</v>
      </c>
      <c r="J59">
        <f>VLOOKUP(CONCATENATE($G59,"-",$F59,"-",$H$2),'Look-ups'!$O$3:$S$34,5,FALSE)*VLOOKUP(CONCATENATE($F59,"-",$H$2,"-",J$3),'Look-ups'!$I$3:$M$24,5,FALSE)</f>
        <v>364</v>
      </c>
      <c r="K59">
        <f>VLOOKUP(CONCATENATE($G59,"-",$F59,"-",$H$2),'Look-ups'!$O$3:$S$34,5,FALSE)*VLOOKUP(CONCATENATE($F59,"-",$H$2,"-",K$3),'Look-ups'!$I$3:$M$24,5,FALSE)</f>
        <v>468</v>
      </c>
      <c r="L59">
        <f>VLOOKUP(CONCATENATE($G59,"-",$F59,"-",$H$2),'Look-ups'!$O$3:$S$34,5,FALSE)*VLOOKUP(CONCATENATE($F59,"-",$H$2,"-",L$3),'Look-ups'!$I$3:$M$24,5,FALSE)</f>
        <v>520</v>
      </c>
      <c r="M59">
        <f>VLOOKUP(CONCATENATE($G59,"-",$F59,"-",$H$2),'Look-ups'!$O$3:$S$34,5,FALSE)*VLOOKUP(CONCATENATE($F59,"-",$H$2,"-",M$3),'Look-ups'!$I$3:$M$24,5,FALSE)</f>
        <v>572</v>
      </c>
      <c r="N59">
        <f>VLOOKUP(CONCATENATE($G59,"-",$F59,"-",$N$2),'Look-ups'!$O$3:$S$34,5,FALSE)*VLOOKUP(CONCATENATE($F59,"-",$N$2,"-",N$3),'Look-ups'!$I$3:$M$24,5,FALSE)</f>
        <v>210</v>
      </c>
      <c r="O59">
        <f>VLOOKUP(CONCATENATE($G59,"-",$F59,"-",$N$2),'Look-ups'!$O$3:$S$34,5,FALSE)*VLOOKUP(CONCATENATE($F59,"-",$N$2,"-",O$3),'Look-ups'!$I$3:$M$24,5,FALSE)</f>
        <v>210</v>
      </c>
      <c r="P59">
        <f>VLOOKUP(CONCATENATE($G59,"-",$F59,"-",$N$2),'Look-ups'!$O$3:$S$34,5,FALSE)*VLOOKUP(CONCATENATE($F59,"-",$N$2,"-",P$3),'Look-ups'!$I$3:$M$24,5,FALSE)</f>
        <v>280</v>
      </c>
      <c r="Q59">
        <f>VLOOKUP(CONCATENATE($G59,"-",$F59,"-",$N$2),'Look-ups'!$O$3:$S$34,5,FALSE)*VLOOKUP(CONCATENATE($F59,"-",$N$2,"-",Q$3),'Look-ups'!$I$3:$M$24,5,FALSE)</f>
        <v>360</v>
      </c>
      <c r="R59">
        <f>VLOOKUP(CONCATENATE($G59,"-",$F59,"-",$N$2),'Look-ups'!$O$3:$S$34,5,FALSE)*VLOOKUP(CONCATENATE($F59,"-",$N$2,"-",R$3),'Look-ups'!$I$3:$M$24,5,FALSE)</f>
        <v>410</v>
      </c>
      <c r="S59" s="117">
        <f>VLOOKUP(CONCATENATE($G59,"-",$F59,"-Lone Person"),'Look-ups'!$Y$4:$AG$35,5,FALSE)</f>
        <v>94.160000000000011</v>
      </c>
      <c r="T59">
        <f>VLOOKUP(CONCATENATE($G59,"-",$F59,"-Lone Person"),'Look-ups'!$Y$4:$AG$35,6,FALSE)</f>
        <v>134.82000000000002</v>
      </c>
      <c r="U59">
        <f>VLOOKUP(CONCATENATE($G59,"-",$F59,"-Lone Person"),'Look-ups'!$Y$4:$AG$35,7,FALSE)</f>
        <v>161.57000000000002</v>
      </c>
      <c r="V59">
        <f>VLOOKUP(CONCATENATE($G59,"-",$F59,"-Lone Person"),'Look-ups'!$Y$4:$AG$35,8,FALSE)</f>
        <v>197.95000000000002</v>
      </c>
      <c r="W59">
        <f>VLOOKUP(CONCATENATE($G59,"-",$F59,"-Lone Person"),'Look-ups'!$Y$4:$AG$35,9,FALSE)</f>
        <v>188.32000000000002</v>
      </c>
      <c r="X59" s="117">
        <f>VLOOKUP(CONCATENATE($G59,"-",$F59,"-Couple Only"),'Look-ups'!$Y$4:$AG$35,5,FALSE)</f>
        <v>153.01000000000002</v>
      </c>
      <c r="Y59">
        <f>VLOOKUP(CONCATENATE($G59,"-",$F59,"-Couple Only"),'Look-ups'!$Y$4:$AG$35,6,FALSE)</f>
        <v>144.45000000000002</v>
      </c>
      <c r="Z59">
        <f>VLOOKUP(CONCATENATE($G59,"-",$F59,"-Couple Only"),'Look-ups'!$Y$4:$AG$35,7,FALSE)</f>
        <v>163.71</v>
      </c>
      <c r="AA59">
        <f>VLOOKUP(CONCATENATE($G59,"-",$F59,"-Couple Only"),'Look-ups'!$Y$4:$AG$35,8,FALSE)</f>
        <v>180.83</v>
      </c>
      <c r="AB59">
        <f>VLOOKUP(CONCATENATE($G59,"-",$F59,"-Couple Only"),'Look-ups'!$Y$4:$AG$35,9,FALSE)</f>
        <v>226.84</v>
      </c>
      <c r="AC59">
        <v>22</v>
      </c>
      <c r="AD59" t="s">
        <v>168</v>
      </c>
      <c r="AE59" s="287">
        <f>VLOOKUP($AD59,'Look-ups'!$A$122:$G$130,5,FALSE)</f>
        <v>8.2785087719298239E-2</v>
      </c>
      <c r="AF59" s="287">
        <f>VLOOKUP($AD59,'Look-ups'!$A$122:$G$130,6,FALSE)</f>
        <v>0.60690789473684215</v>
      </c>
      <c r="AG59" s="287">
        <f>VLOOKUP($AD59,'Look-ups'!$A$122:$G$130,7,FALSE)</f>
        <v>0.31030701754385964</v>
      </c>
      <c r="AH59" s="291">
        <f>VLOOKUP($AC59,'Look-ups'!$A$50:$AO$118,'Look-ups'!$B$133*4,FALSE)*0.277778</f>
        <v>77.059494144222086</v>
      </c>
      <c r="AI59" s="291">
        <f>VLOOKUP($AC59,'Look-ups'!$A$50:$AO$118,'Look-ups'!$B$133*4+1,FALSE)*0.277778</f>
        <v>9.0516858557779365</v>
      </c>
      <c r="AJ59" s="291">
        <f>AE59*$AH59/'Look-ups'!$B$141</f>
        <v>8.339054878868204</v>
      </c>
      <c r="AK59" s="291">
        <f>AF59*$AH59/'Look-ups'!$B$140</f>
        <v>64.065774466514853</v>
      </c>
      <c r="AL59" s="291">
        <f>AG59*$AH59/'Look-ups'!$B$137</f>
        <v>4.5546860573965846</v>
      </c>
      <c r="AM59" s="291">
        <f>AI59/'Look-ups'!$B$136</f>
        <v>1.9056180749006182</v>
      </c>
      <c r="AN59" s="290">
        <f>AJ59*VLOOKUP($AD59,'Look-ups'!$A$123:$M$130,10,FALSE)</f>
        <v>2.2631268379595095</v>
      </c>
      <c r="AO59" s="290">
        <f>AK59*VLOOKUP($AD59,'Look-ups'!$A$123:$M$130,9,FALSE)</f>
        <v>7.3876258033107245</v>
      </c>
      <c r="AP59" s="290">
        <f>(AL59+AM59)*VLOOKUP($AD59,'Look-ups'!$A$123:$M$130,8,FALSE)</f>
        <v>2.0672973223351052</v>
      </c>
      <c r="AQ59" s="290">
        <f t="shared" si="0"/>
        <v>11.718049963605338</v>
      </c>
      <c r="AR59" s="292">
        <f>AJ59*VLOOKUP($AD59,'Look-ups'!$A$123:$M$130,11,FALSE)</f>
        <v>3.6025725797032955E-2</v>
      </c>
      <c r="AS59" s="292">
        <f>AK59*VLOOKUP($AD59,'Look-ups'!$A$123:$M$130,12,FALSE)</f>
        <v>11.885046471035427</v>
      </c>
      <c r="AT59" s="292">
        <f>(AL59+AM59)*VLOOKUP($AD59,'Look-ups'!$A$123:$M$130,13,FALSE)</f>
        <v>1.5840665732392742</v>
      </c>
      <c r="AU59" s="292">
        <f t="shared" si="1"/>
        <v>13.505138770071735</v>
      </c>
    </row>
    <row r="60" spans="1:47" x14ac:dyDescent="0.25">
      <c r="A60">
        <v>2019</v>
      </c>
      <c r="B60" t="s">
        <v>351</v>
      </c>
      <c r="C60">
        <v>57.583599999999898</v>
      </c>
      <c r="D60">
        <v>19882</v>
      </c>
      <c r="E60">
        <v>345.27191769878988</v>
      </c>
      <c r="F60" t="s">
        <v>172</v>
      </c>
      <c r="G60" t="s">
        <v>168</v>
      </c>
      <c r="H60">
        <f>VLOOKUP(CONCATENATE($G60,"-",$F60,"-",$H$2),'Look-ups'!$O$3:$S$34,5,FALSE)*VLOOKUP(CONCATENATE($F60,"-",$H$2,"-",H$3),'Look-ups'!$I$3:$M$24,5,FALSE)</f>
        <v>208</v>
      </c>
      <c r="I60">
        <f>VLOOKUP(CONCATENATE($G60,"-",$F60,"-",$H$2),'Look-ups'!$O$3:$S$34,5,FALSE)*VLOOKUP(CONCATENATE($F60,"-",$H$2,"-",I$3),'Look-ups'!$I$3:$M$24,5,FALSE)</f>
        <v>312</v>
      </c>
      <c r="J60">
        <f>VLOOKUP(CONCATENATE($G60,"-",$F60,"-",$H$2),'Look-ups'!$O$3:$S$34,5,FALSE)*VLOOKUP(CONCATENATE($F60,"-",$H$2,"-",J$3),'Look-ups'!$I$3:$M$24,5,FALSE)</f>
        <v>364</v>
      </c>
      <c r="K60">
        <f>VLOOKUP(CONCATENATE($G60,"-",$F60,"-",$H$2),'Look-ups'!$O$3:$S$34,5,FALSE)*VLOOKUP(CONCATENATE($F60,"-",$H$2,"-",K$3),'Look-ups'!$I$3:$M$24,5,FALSE)</f>
        <v>468</v>
      </c>
      <c r="L60">
        <f>VLOOKUP(CONCATENATE($G60,"-",$F60,"-",$H$2),'Look-ups'!$O$3:$S$34,5,FALSE)*VLOOKUP(CONCATENATE($F60,"-",$H$2,"-",L$3),'Look-ups'!$I$3:$M$24,5,FALSE)</f>
        <v>520</v>
      </c>
      <c r="M60">
        <f>VLOOKUP(CONCATENATE($G60,"-",$F60,"-",$H$2),'Look-ups'!$O$3:$S$34,5,FALSE)*VLOOKUP(CONCATENATE($F60,"-",$H$2,"-",M$3),'Look-ups'!$I$3:$M$24,5,FALSE)</f>
        <v>572</v>
      </c>
      <c r="N60">
        <f>VLOOKUP(CONCATENATE($G60,"-",$F60,"-",$N$2),'Look-ups'!$O$3:$S$34,5,FALSE)*VLOOKUP(CONCATENATE($F60,"-",$N$2,"-",N$3),'Look-ups'!$I$3:$M$24,5,FALSE)</f>
        <v>210</v>
      </c>
      <c r="O60">
        <f>VLOOKUP(CONCATENATE($G60,"-",$F60,"-",$N$2),'Look-ups'!$O$3:$S$34,5,FALSE)*VLOOKUP(CONCATENATE($F60,"-",$N$2,"-",O$3),'Look-ups'!$I$3:$M$24,5,FALSE)</f>
        <v>210</v>
      </c>
      <c r="P60">
        <f>VLOOKUP(CONCATENATE($G60,"-",$F60,"-",$N$2),'Look-ups'!$O$3:$S$34,5,FALSE)*VLOOKUP(CONCATENATE($F60,"-",$N$2,"-",P$3),'Look-ups'!$I$3:$M$24,5,FALSE)</f>
        <v>280</v>
      </c>
      <c r="Q60">
        <f>VLOOKUP(CONCATENATE($G60,"-",$F60,"-",$N$2),'Look-ups'!$O$3:$S$34,5,FALSE)*VLOOKUP(CONCATENATE($F60,"-",$N$2,"-",Q$3),'Look-ups'!$I$3:$M$24,5,FALSE)</f>
        <v>360</v>
      </c>
      <c r="R60">
        <f>VLOOKUP(CONCATENATE($G60,"-",$F60,"-",$N$2),'Look-ups'!$O$3:$S$34,5,FALSE)*VLOOKUP(CONCATENATE($F60,"-",$N$2,"-",R$3),'Look-ups'!$I$3:$M$24,5,FALSE)</f>
        <v>410</v>
      </c>
      <c r="S60" s="117">
        <f>VLOOKUP(CONCATENATE($G60,"-",$F60,"-Lone Person"),'Look-ups'!$Y$4:$AG$35,5,FALSE)</f>
        <v>94.160000000000011</v>
      </c>
      <c r="T60">
        <f>VLOOKUP(CONCATENATE($G60,"-",$F60,"-Lone Person"),'Look-ups'!$Y$4:$AG$35,6,FALSE)</f>
        <v>134.82000000000002</v>
      </c>
      <c r="U60">
        <f>VLOOKUP(CONCATENATE($G60,"-",$F60,"-Lone Person"),'Look-ups'!$Y$4:$AG$35,7,FALSE)</f>
        <v>161.57000000000002</v>
      </c>
      <c r="V60">
        <f>VLOOKUP(CONCATENATE($G60,"-",$F60,"-Lone Person"),'Look-ups'!$Y$4:$AG$35,8,FALSE)</f>
        <v>197.95000000000002</v>
      </c>
      <c r="W60">
        <f>VLOOKUP(CONCATENATE($G60,"-",$F60,"-Lone Person"),'Look-ups'!$Y$4:$AG$35,9,FALSE)</f>
        <v>188.32000000000002</v>
      </c>
      <c r="X60" s="117">
        <f>VLOOKUP(CONCATENATE($G60,"-",$F60,"-Couple Only"),'Look-ups'!$Y$4:$AG$35,5,FALSE)</f>
        <v>153.01000000000002</v>
      </c>
      <c r="Y60">
        <f>VLOOKUP(CONCATENATE($G60,"-",$F60,"-Couple Only"),'Look-ups'!$Y$4:$AG$35,6,FALSE)</f>
        <v>144.45000000000002</v>
      </c>
      <c r="Z60">
        <f>VLOOKUP(CONCATENATE($G60,"-",$F60,"-Couple Only"),'Look-ups'!$Y$4:$AG$35,7,FALSE)</f>
        <v>163.71</v>
      </c>
      <c r="AA60">
        <f>VLOOKUP(CONCATENATE($G60,"-",$F60,"-Couple Only"),'Look-ups'!$Y$4:$AG$35,8,FALSE)</f>
        <v>180.83</v>
      </c>
      <c r="AB60">
        <f>VLOOKUP(CONCATENATE($G60,"-",$F60,"-Couple Only"),'Look-ups'!$Y$4:$AG$35,9,FALSE)</f>
        <v>226.84</v>
      </c>
      <c r="AC60">
        <v>66</v>
      </c>
      <c r="AD60" t="s">
        <v>168</v>
      </c>
      <c r="AE60" s="287">
        <f>VLOOKUP($AD60,'Look-ups'!$A$122:$G$130,5,FALSE)</f>
        <v>8.2785087719298239E-2</v>
      </c>
      <c r="AF60" s="287">
        <f>VLOOKUP($AD60,'Look-ups'!$A$122:$G$130,6,FALSE)</f>
        <v>0.60690789473684215</v>
      </c>
      <c r="AG60" s="287">
        <f>VLOOKUP($AD60,'Look-ups'!$A$122:$G$130,7,FALSE)</f>
        <v>0.31030701754385964</v>
      </c>
      <c r="AH60" s="291">
        <f>VLOOKUP($AC60,'Look-ups'!$A$50:$AO$118,'Look-ups'!$B$133*4,FALSE)*0.277778</f>
        <v>110.95887229220909</v>
      </c>
      <c r="AI60" s="291">
        <f>VLOOKUP($AC60,'Look-ups'!$A$50:$AO$118,'Look-ups'!$B$133*4+1,FALSE)*0.277778</f>
        <v>12.930115707790923</v>
      </c>
      <c r="AJ60" s="291">
        <f>AE60*$AH60/'Look-ups'!$B$141</f>
        <v>12.007503236529336</v>
      </c>
      <c r="AK60" s="291">
        <f>AF60*$AH60/'Look-ups'!$B$140</f>
        <v>92.24906244553253</v>
      </c>
      <c r="AL60" s="291">
        <f>AG60*$AH60/'Look-ups'!$B$137</f>
        <v>6.55834604400484</v>
      </c>
      <c r="AM60" s="291">
        <f>AI60/'Look-ups'!$B$136</f>
        <v>2.722129622692826</v>
      </c>
      <c r="AN60" s="290">
        <f>AJ60*VLOOKUP($AD60,'Look-ups'!$A$123:$M$130,10,FALSE)</f>
        <v>3.2587029616914331</v>
      </c>
      <c r="AO60" s="290">
        <f>AK60*VLOOKUP($AD60,'Look-ups'!$A$123:$M$130,9,FALSE)</f>
        <v>10.637529316219188</v>
      </c>
      <c r="AP60" s="290">
        <f>(AL60+AM60)*VLOOKUP($AD60,'Look-ups'!$A$123:$M$130,8,FALSE)</f>
        <v>2.969752213343253</v>
      </c>
      <c r="AQ60" s="290">
        <f t="shared" si="0"/>
        <v>16.865984491253876</v>
      </c>
      <c r="AR60" s="292">
        <f>AJ60*VLOOKUP($AD60,'Look-ups'!$A$123:$M$130,11,FALSE)</f>
        <v>5.1873866450067335E-2</v>
      </c>
      <c r="AS60" s="292">
        <f>AK60*VLOOKUP($AD60,'Look-ups'!$A$123:$M$130,12,FALSE)</f>
        <v>17.113418251856903</v>
      </c>
      <c r="AT60" s="292">
        <f>(AL60+AM60)*VLOOKUP($AD60,'Look-ups'!$A$123:$M$130,13,FALSE)</f>
        <v>2.2755726334742676</v>
      </c>
      <c r="AU60" s="292">
        <f t="shared" si="1"/>
        <v>19.440864751781238</v>
      </c>
    </row>
    <row r="61" spans="1:47" x14ac:dyDescent="0.25">
      <c r="A61">
        <v>2020</v>
      </c>
      <c r="B61" t="s">
        <v>352</v>
      </c>
      <c r="C61">
        <v>678.98509999999897</v>
      </c>
      <c r="D61">
        <v>42827</v>
      </c>
      <c r="E61">
        <v>63.075021823012115</v>
      </c>
      <c r="F61" t="s">
        <v>172</v>
      </c>
      <c r="G61" t="s">
        <v>168</v>
      </c>
      <c r="H61">
        <f>VLOOKUP(CONCATENATE($G61,"-",$F61,"-",$H$2),'Look-ups'!$O$3:$S$34,5,FALSE)*VLOOKUP(CONCATENATE($F61,"-",$H$2,"-",H$3),'Look-ups'!$I$3:$M$24,5,FALSE)</f>
        <v>208</v>
      </c>
      <c r="I61">
        <f>VLOOKUP(CONCATENATE($G61,"-",$F61,"-",$H$2),'Look-ups'!$O$3:$S$34,5,FALSE)*VLOOKUP(CONCATENATE($F61,"-",$H$2,"-",I$3),'Look-ups'!$I$3:$M$24,5,FALSE)</f>
        <v>312</v>
      </c>
      <c r="J61">
        <f>VLOOKUP(CONCATENATE($G61,"-",$F61,"-",$H$2),'Look-ups'!$O$3:$S$34,5,FALSE)*VLOOKUP(CONCATENATE($F61,"-",$H$2,"-",J$3),'Look-ups'!$I$3:$M$24,5,FALSE)</f>
        <v>364</v>
      </c>
      <c r="K61">
        <f>VLOOKUP(CONCATENATE($G61,"-",$F61,"-",$H$2),'Look-ups'!$O$3:$S$34,5,FALSE)*VLOOKUP(CONCATENATE($F61,"-",$H$2,"-",K$3),'Look-ups'!$I$3:$M$24,5,FALSE)</f>
        <v>468</v>
      </c>
      <c r="L61">
        <f>VLOOKUP(CONCATENATE($G61,"-",$F61,"-",$H$2),'Look-ups'!$O$3:$S$34,5,FALSE)*VLOOKUP(CONCATENATE($F61,"-",$H$2,"-",L$3),'Look-ups'!$I$3:$M$24,5,FALSE)</f>
        <v>520</v>
      </c>
      <c r="M61">
        <f>VLOOKUP(CONCATENATE($G61,"-",$F61,"-",$H$2),'Look-ups'!$O$3:$S$34,5,FALSE)*VLOOKUP(CONCATENATE($F61,"-",$H$2,"-",M$3),'Look-ups'!$I$3:$M$24,5,FALSE)</f>
        <v>572</v>
      </c>
      <c r="N61">
        <f>VLOOKUP(CONCATENATE($G61,"-",$F61,"-",$N$2),'Look-ups'!$O$3:$S$34,5,FALSE)*VLOOKUP(CONCATENATE($F61,"-",$N$2,"-",N$3),'Look-ups'!$I$3:$M$24,5,FALSE)</f>
        <v>210</v>
      </c>
      <c r="O61">
        <f>VLOOKUP(CONCATENATE($G61,"-",$F61,"-",$N$2),'Look-ups'!$O$3:$S$34,5,FALSE)*VLOOKUP(CONCATENATE($F61,"-",$N$2,"-",O$3),'Look-ups'!$I$3:$M$24,5,FALSE)</f>
        <v>210</v>
      </c>
      <c r="P61">
        <f>VLOOKUP(CONCATENATE($G61,"-",$F61,"-",$N$2),'Look-ups'!$O$3:$S$34,5,FALSE)*VLOOKUP(CONCATENATE($F61,"-",$N$2,"-",P$3),'Look-ups'!$I$3:$M$24,5,FALSE)</f>
        <v>280</v>
      </c>
      <c r="Q61">
        <f>VLOOKUP(CONCATENATE($G61,"-",$F61,"-",$N$2),'Look-ups'!$O$3:$S$34,5,FALSE)*VLOOKUP(CONCATENATE($F61,"-",$N$2,"-",Q$3),'Look-ups'!$I$3:$M$24,5,FALSE)</f>
        <v>360</v>
      </c>
      <c r="R61">
        <f>VLOOKUP(CONCATENATE($G61,"-",$F61,"-",$N$2),'Look-ups'!$O$3:$S$34,5,FALSE)*VLOOKUP(CONCATENATE($F61,"-",$N$2,"-",R$3),'Look-ups'!$I$3:$M$24,5,FALSE)</f>
        <v>410</v>
      </c>
      <c r="S61" s="117">
        <f>VLOOKUP(CONCATENATE($G61,"-",$F61,"-Lone Person"),'Look-ups'!$Y$4:$AG$35,5,FALSE)</f>
        <v>94.160000000000011</v>
      </c>
      <c r="T61">
        <f>VLOOKUP(CONCATENATE($G61,"-",$F61,"-Lone Person"),'Look-ups'!$Y$4:$AG$35,6,FALSE)</f>
        <v>134.82000000000002</v>
      </c>
      <c r="U61">
        <f>VLOOKUP(CONCATENATE($G61,"-",$F61,"-Lone Person"),'Look-ups'!$Y$4:$AG$35,7,FALSE)</f>
        <v>161.57000000000002</v>
      </c>
      <c r="V61">
        <f>VLOOKUP(CONCATENATE($G61,"-",$F61,"-Lone Person"),'Look-ups'!$Y$4:$AG$35,8,FALSE)</f>
        <v>197.95000000000002</v>
      </c>
      <c r="W61">
        <f>VLOOKUP(CONCATENATE($G61,"-",$F61,"-Lone Person"),'Look-ups'!$Y$4:$AG$35,9,FALSE)</f>
        <v>188.32000000000002</v>
      </c>
      <c r="X61" s="117">
        <f>VLOOKUP(CONCATENATE($G61,"-",$F61,"-Couple Only"),'Look-ups'!$Y$4:$AG$35,5,FALSE)</f>
        <v>153.01000000000002</v>
      </c>
      <c r="Y61">
        <f>VLOOKUP(CONCATENATE($G61,"-",$F61,"-Couple Only"),'Look-ups'!$Y$4:$AG$35,6,FALSE)</f>
        <v>144.45000000000002</v>
      </c>
      <c r="Z61">
        <f>VLOOKUP(CONCATENATE($G61,"-",$F61,"-Couple Only"),'Look-ups'!$Y$4:$AG$35,7,FALSE)</f>
        <v>163.71</v>
      </c>
      <c r="AA61">
        <f>VLOOKUP(CONCATENATE($G61,"-",$F61,"-Couple Only"),'Look-ups'!$Y$4:$AG$35,8,FALSE)</f>
        <v>180.83</v>
      </c>
      <c r="AB61">
        <f>VLOOKUP(CONCATENATE($G61,"-",$F61,"-Couple Only"),'Look-ups'!$Y$4:$AG$35,9,FALSE)</f>
        <v>226.84</v>
      </c>
      <c r="AC61">
        <v>22</v>
      </c>
      <c r="AD61" t="s">
        <v>168</v>
      </c>
      <c r="AE61" s="287">
        <f>VLOOKUP($AD61,'Look-ups'!$A$122:$G$130,5,FALSE)</f>
        <v>8.2785087719298239E-2</v>
      </c>
      <c r="AF61" s="287">
        <f>VLOOKUP($AD61,'Look-ups'!$A$122:$G$130,6,FALSE)</f>
        <v>0.60690789473684215</v>
      </c>
      <c r="AG61" s="287">
        <f>VLOOKUP($AD61,'Look-ups'!$A$122:$G$130,7,FALSE)</f>
        <v>0.31030701754385964</v>
      </c>
      <c r="AH61" s="291">
        <f>VLOOKUP($AC61,'Look-ups'!$A$50:$AO$118,'Look-ups'!$B$133*4,FALSE)*0.277778</f>
        <v>77.059494144222086</v>
      </c>
      <c r="AI61" s="291">
        <f>VLOOKUP($AC61,'Look-ups'!$A$50:$AO$118,'Look-ups'!$B$133*4+1,FALSE)*0.277778</f>
        <v>9.0516858557779365</v>
      </c>
      <c r="AJ61" s="291">
        <f>AE61*$AH61/'Look-ups'!$B$141</f>
        <v>8.339054878868204</v>
      </c>
      <c r="AK61" s="291">
        <f>AF61*$AH61/'Look-ups'!$B$140</f>
        <v>64.065774466514853</v>
      </c>
      <c r="AL61" s="291">
        <f>AG61*$AH61/'Look-ups'!$B$137</f>
        <v>4.5546860573965846</v>
      </c>
      <c r="AM61" s="291">
        <f>AI61/'Look-ups'!$B$136</f>
        <v>1.9056180749006182</v>
      </c>
      <c r="AN61" s="290">
        <f>AJ61*VLOOKUP($AD61,'Look-ups'!$A$123:$M$130,10,FALSE)</f>
        <v>2.2631268379595095</v>
      </c>
      <c r="AO61" s="290">
        <f>AK61*VLOOKUP($AD61,'Look-ups'!$A$123:$M$130,9,FALSE)</f>
        <v>7.3876258033107245</v>
      </c>
      <c r="AP61" s="290">
        <f>(AL61+AM61)*VLOOKUP($AD61,'Look-ups'!$A$123:$M$130,8,FALSE)</f>
        <v>2.0672973223351052</v>
      </c>
      <c r="AQ61" s="290">
        <f t="shared" si="0"/>
        <v>11.718049963605338</v>
      </c>
      <c r="AR61" s="292">
        <f>AJ61*VLOOKUP($AD61,'Look-ups'!$A$123:$M$130,11,FALSE)</f>
        <v>3.6025725797032955E-2</v>
      </c>
      <c r="AS61" s="292">
        <f>AK61*VLOOKUP($AD61,'Look-ups'!$A$123:$M$130,12,FALSE)</f>
        <v>11.885046471035427</v>
      </c>
      <c r="AT61" s="292">
        <f>(AL61+AM61)*VLOOKUP($AD61,'Look-ups'!$A$123:$M$130,13,FALSE)</f>
        <v>1.5840665732392742</v>
      </c>
      <c r="AU61" s="292">
        <f t="shared" si="1"/>
        <v>13.505138770071735</v>
      </c>
    </row>
    <row r="62" spans="1:47" x14ac:dyDescent="0.25">
      <c r="A62">
        <v>2021</v>
      </c>
      <c r="B62" t="s">
        <v>353</v>
      </c>
      <c r="C62">
        <v>182.6156</v>
      </c>
      <c r="D62">
        <v>35743</v>
      </c>
      <c r="E62">
        <v>195.72807580513384</v>
      </c>
      <c r="F62" t="s">
        <v>172</v>
      </c>
      <c r="G62" t="s">
        <v>168</v>
      </c>
      <c r="H62">
        <f>VLOOKUP(CONCATENATE($G62,"-",$F62,"-",$H$2),'Look-ups'!$O$3:$S$34,5,FALSE)*VLOOKUP(CONCATENATE($F62,"-",$H$2,"-",H$3),'Look-ups'!$I$3:$M$24,5,FALSE)</f>
        <v>208</v>
      </c>
      <c r="I62">
        <f>VLOOKUP(CONCATENATE($G62,"-",$F62,"-",$H$2),'Look-ups'!$O$3:$S$34,5,FALSE)*VLOOKUP(CONCATENATE($F62,"-",$H$2,"-",I$3),'Look-ups'!$I$3:$M$24,5,FALSE)</f>
        <v>312</v>
      </c>
      <c r="J62">
        <f>VLOOKUP(CONCATENATE($G62,"-",$F62,"-",$H$2),'Look-ups'!$O$3:$S$34,5,FALSE)*VLOOKUP(CONCATENATE($F62,"-",$H$2,"-",J$3),'Look-ups'!$I$3:$M$24,5,FALSE)</f>
        <v>364</v>
      </c>
      <c r="K62">
        <f>VLOOKUP(CONCATENATE($G62,"-",$F62,"-",$H$2),'Look-ups'!$O$3:$S$34,5,FALSE)*VLOOKUP(CONCATENATE($F62,"-",$H$2,"-",K$3),'Look-ups'!$I$3:$M$24,5,FALSE)</f>
        <v>468</v>
      </c>
      <c r="L62">
        <f>VLOOKUP(CONCATENATE($G62,"-",$F62,"-",$H$2),'Look-ups'!$O$3:$S$34,5,FALSE)*VLOOKUP(CONCATENATE($F62,"-",$H$2,"-",L$3),'Look-ups'!$I$3:$M$24,5,FALSE)</f>
        <v>520</v>
      </c>
      <c r="M62">
        <f>VLOOKUP(CONCATENATE($G62,"-",$F62,"-",$H$2),'Look-ups'!$O$3:$S$34,5,FALSE)*VLOOKUP(CONCATENATE($F62,"-",$H$2,"-",M$3),'Look-ups'!$I$3:$M$24,5,FALSE)</f>
        <v>572</v>
      </c>
      <c r="N62">
        <f>VLOOKUP(CONCATENATE($G62,"-",$F62,"-",$N$2),'Look-ups'!$O$3:$S$34,5,FALSE)*VLOOKUP(CONCATENATE($F62,"-",$N$2,"-",N$3),'Look-ups'!$I$3:$M$24,5,FALSE)</f>
        <v>210</v>
      </c>
      <c r="O62">
        <f>VLOOKUP(CONCATENATE($G62,"-",$F62,"-",$N$2),'Look-ups'!$O$3:$S$34,5,FALSE)*VLOOKUP(CONCATENATE($F62,"-",$N$2,"-",O$3),'Look-ups'!$I$3:$M$24,5,FALSE)</f>
        <v>210</v>
      </c>
      <c r="P62">
        <f>VLOOKUP(CONCATENATE($G62,"-",$F62,"-",$N$2),'Look-ups'!$O$3:$S$34,5,FALSE)*VLOOKUP(CONCATENATE($F62,"-",$N$2,"-",P$3),'Look-ups'!$I$3:$M$24,5,FALSE)</f>
        <v>280</v>
      </c>
      <c r="Q62">
        <f>VLOOKUP(CONCATENATE($G62,"-",$F62,"-",$N$2),'Look-ups'!$O$3:$S$34,5,FALSE)*VLOOKUP(CONCATENATE($F62,"-",$N$2,"-",Q$3),'Look-ups'!$I$3:$M$24,5,FALSE)</f>
        <v>360</v>
      </c>
      <c r="R62">
        <f>VLOOKUP(CONCATENATE($G62,"-",$F62,"-",$N$2),'Look-ups'!$O$3:$S$34,5,FALSE)*VLOOKUP(CONCATENATE($F62,"-",$N$2,"-",R$3),'Look-ups'!$I$3:$M$24,5,FALSE)</f>
        <v>410</v>
      </c>
      <c r="S62" s="117">
        <f>VLOOKUP(CONCATENATE($G62,"-",$F62,"-Lone Person"),'Look-ups'!$Y$4:$AG$35,5,FALSE)</f>
        <v>94.160000000000011</v>
      </c>
      <c r="T62">
        <f>VLOOKUP(CONCATENATE($G62,"-",$F62,"-Lone Person"),'Look-ups'!$Y$4:$AG$35,6,FALSE)</f>
        <v>134.82000000000002</v>
      </c>
      <c r="U62">
        <f>VLOOKUP(CONCATENATE($G62,"-",$F62,"-Lone Person"),'Look-ups'!$Y$4:$AG$35,7,FALSE)</f>
        <v>161.57000000000002</v>
      </c>
      <c r="V62">
        <f>VLOOKUP(CONCATENATE($G62,"-",$F62,"-Lone Person"),'Look-ups'!$Y$4:$AG$35,8,FALSE)</f>
        <v>197.95000000000002</v>
      </c>
      <c r="W62">
        <f>VLOOKUP(CONCATENATE($G62,"-",$F62,"-Lone Person"),'Look-ups'!$Y$4:$AG$35,9,FALSE)</f>
        <v>188.32000000000002</v>
      </c>
      <c r="X62" s="117">
        <f>VLOOKUP(CONCATENATE($G62,"-",$F62,"-Couple Only"),'Look-ups'!$Y$4:$AG$35,5,FALSE)</f>
        <v>153.01000000000002</v>
      </c>
      <c r="Y62">
        <f>VLOOKUP(CONCATENATE($G62,"-",$F62,"-Couple Only"),'Look-ups'!$Y$4:$AG$35,6,FALSE)</f>
        <v>144.45000000000002</v>
      </c>
      <c r="Z62">
        <f>VLOOKUP(CONCATENATE($G62,"-",$F62,"-Couple Only"),'Look-ups'!$Y$4:$AG$35,7,FALSE)</f>
        <v>163.71</v>
      </c>
      <c r="AA62">
        <f>VLOOKUP(CONCATENATE($G62,"-",$F62,"-Couple Only"),'Look-ups'!$Y$4:$AG$35,8,FALSE)</f>
        <v>180.83</v>
      </c>
      <c r="AB62">
        <f>VLOOKUP(CONCATENATE($G62,"-",$F62,"-Couple Only"),'Look-ups'!$Y$4:$AG$35,9,FALSE)</f>
        <v>226.84</v>
      </c>
      <c r="AC62">
        <v>63</v>
      </c>
      <c r="AD62" t="s">
        <v>168</v>
      </c>
      <c r="AE62" s="287">
        <f>VLOOKUP($AD62,'Look-ups'!$A$122:$G$130,5,FALSE)</f>
        <v>8.2785087719298239E-2</v>
      </c>
      <c r="AF62" s="287">
        <f>VLOOKUP($AD62,'Look-ups'!$A$122:$G$130,6,FALSE)</f>
        <v>0.60690789473684215</v>
      </c>
      <c r="AG62" s="287">
        <f>VLOOKUP($AD62,'Look-ups'!$A$122:$G$130,7,FALSE)</f>
        <v>0.31030701754385964</v>
      </c>
      <c r="AH62" s="291">
        <f>VLOOKUP($AC62,'Look-ups'!$A$50:$AO$118,'Look-ups'!$B$133*4,FALSE)*0.277778</f>
        <v>75.832796960147022</v>
      </c>
      <c r="AI62" s="291">
        <f>VLOOKUP($AC62,'Look-ups'!$A$50:$AO$118,'Look-ups'!$B$133*4+1,FALSE)*0.277778</f>
        <v>6.3894910398529809</v>
      </c>
      <c r="AJ62" s="291">
        <f>AE62*$AH62/'Look-ups'!$B$141</f>
        <v>8.2063068605823588</v>
      </c>
      <c r="AK62" s="291">
        <f>AF62*$AH62/'Look-ups'!$B$140</f>
        <v>63.045922130259221</v>
      </c>
      <c r="AL62" s="291">
        <f>AG62*$AH62/'Look-ups'!$B$137</f>
        <v>4.4821807727071024</v>
      </c>
      <c r="AM62" s="291">
        <f>AI62/'Look-ups'!$B$136</f>
        <v>1.3451560083901013</v>
      </c>
      <c r="AN62" s="290">
        <f>AJ62*VLOOKUP($AD62,'Look-ups'!$A$123:$M$130,10,FALSE)</f>
        <v>2.227100500774712</v>
      </c>
      <c r="AO62" s="290">
        <f>AK62*VLOOKUP($AD62,'Look-ups'!$A$123:$M$130,9,FALSE)</f>
        <v>7.2700234251668885</v>
      </c>
      <c r="AP62" s="290">
        <f>(AL62+AM62)*VLOOKUP($AD62,'Look-ups'!$A$123:$M$130,8,FALSE)</f>
        <v>1.8647477699511052</v>
      </c>
      <c r="AQ62" s="290">
        <f t="shared" si="0"/>
        <v>11.361871695892706</v>
      </c>
      <c r="AR62" s="292">
        <f>AJ62*VLOOKUP($AD62,'Look-ups'!$A$123:$M$130,11,FALSE)</f>
        <v>3.5452238300388197E-2</v>
      </c>
      <c r="AS62" s="292">
        <f>AK62*VLOOKUP($AD62,'Look-ups'!$A$123:$M$130,12,FALSE)</f>
        <v>11.695850406351507</v>
      </c>
      <c r="AT62" s="292">
        <f>(AL62+AM62)*VLOOKUP($AD62,'Look-ups'!$A$123:$M$130,13,FALSE)</f>
        <v>1.4288629787250344</v>
      </c>
      <c r="AU62" s="292">
        <f t="shared" si="1"/>
        <v>13.16016562337693</v>
      </c>
    </row>
    <row r="63" spans="1:47" x14ac:dyDescent="0.25">
      <c r="A63">
        <v>3000</v>
      </c>
      <c r="B63" t="s">
        <v>354</v>
      </c>
      <c r="C63">
        <v>1716660.6473000001</v>
      </c>
      <c r="D63">
        <v>751871</v>
      </c>
      <c r="E63">
        <v>0.43798464255737352</v>
      </c>
      <c r="F63" t="s">
        <v>172</v>
      </c>
      <c r="G63" t="s">
        <v>165</v>
      </c>
      <c r="H63">
        <f>VLOOKUP(CONCATENATE($G63,"-",$F63,"-",$H$2),'Look-ups'!$O$3:$S$34,5,FALSE)*VLOOKUP(CONCATENATE($F63,"-",$H$2,"-",H$3),'Look-ups'!$I$3:$M$24,5,FALSE)</f>
        <v>201.33333333333331</v>
      </c>
      <c r="I63">
        <f>VLOOKUP(CONCATENATE($G63,"-",$F63,"-",$H$2),'Look-ups'!$O$3:$S$34,5,FALSE)*VLOOKUP(CONCATENATE($F63,"-",$H$2,"-",I$3),'Look-ups'!$I$3:$M$24,5,FALSE)</f>
        <v>302</v>
      </c>
      <c r="J63">
        <f>VLOOKUP(CONCATENATE($G63,"-",$F63,"-",$H$2),'Look-ups'!$O$3:$S$34,5,FALSE)*VLOOKUP(CONCATENATE($F63,"-",$H$2,"-",J$3),'Look-ups'!$I$3:$M$24,5,FALSE)</f>
        <v>352.33333333333337</v>
      </c>
      <c r="K63">
        <f>VLOOKUP(CONCATENATE($G63,"-",$F63,"-",$H$2),'Look-ups'!$O$3:$S$34,5,FALSE)*VLOOKUP(CONCATENATE($F63,"-",$H$2,"-",K$3),'Look-ups'!$I$3:$M$24,5,FALSE)</f>
        <v>453</v>
      </c>
      <c r="L63">
        <f>VLOOKUP(CONCATENATE($G63,"-",$F63,"-",$H$2),'Look-ups'!$O$3:$S$34,5,FALSE)*VLOOKUP(CONCATENATE($F63,"-",$H$2,"-",L$3),'Look-ups'!$I$3:$M$24,5,FALSE)</f>
        <v>503.33333333333337</v>
      </c>
      <c r="M63">
        <f>VLOOKUP(CONCATENATE($G63,"-",$F63,"-",$H$2),'Look-ups'!$O$3:$S$34,5,FALSE)*VLOOKUP(CONCATENATE($F63,"-",$H$2,"-",M$3),'Look-ups'!$I$3:$M$24,5,FALSE)</f>
        <v>553.66666666666663</v>
      </c>
      <c r="N63">
        <f>VLOOKUP(CONCATENATE($G63,"-",$F63,"-",$N$2),'Look-ups'!$O$3:$S$34,5,FALSE)*VLOOKUP(CONCATENATE($F63,"-",$N$2,"-",N$3),'Look-ups'!$I$3:$M$24,5,FALSE)</f>
        <v>218.25</v>
      </c>
      <c r="O63">
        <f>VLOOKUP(CONCATENATE($G63,"-",$F63,"-",$N$2),'Look-ups'!$O$3:$S$34,5,FALSE)*VLOOKUP(CONCATENATE($F63,"-",$N$2,"-",O$3),'Look-ups'!$I$3:$M$24,5,FALSE)</f>
        <v>218.25</v>
      </c>
      <c r="P63">
        <f>VLOOKUP(CONCATENATE($G63,"-",$F63,"-",$N$2),'Look-ups'!$O$3:$S$34,5,FALSE)*VLOOKUP(CONCATENATE($F63,"-",$N$2,"-",P$3),'Look-ups'!$I$3:$M$24,5,FALSE)</f>
        <v>291</v>
      </c>
      <c r="Q63">
        <f>VLOOKUP(CONCATENATE($G63,"-",$F63,"-",$N$2),'Look-ups'!$O$3:$S$34,5,FALSE)*VLOOKUP(CONCATENATE($F63,"-",$N$2,"-",Q$3),'Look-ups'!$I$3:$M$24,5,FALSE)</f>
        <v>374.14285714285717</v>
      </c>
      <c r="R63">
        <f>VLOOKUP(CONCATENATE($G63,"-",$F63,"-",$N$2),'Look-ups'!$O$3:$S$34,5,FALSE)*VLOOKUP(CONCATENATE($F63,"-",$N$2,"-",R$3),'Look-ups'!$I$3:$M$24,5,FALSE)</f>
        <v>426.10714285714283</v>
      </c>
      <c r="S63" s="117">
        <f>VLOOKUP(CONCATENATE($G63,"-",$F63,"-Lone Person"),'Look-ups'!$Y$4:$AG$35,5,FALSE)</f>
        <v>97.37</v>
      </c>
      <c r="T63">
        <f>VLOOKUP(CONCATENATE($G63,"-",$F63,"-Lone Person"),'Look-ups'!$Y$4:$AG$35,6,FALSE)</f>
        <v>138.03</v>
      </c>
      <c r="U63">
        <f>VLOOKUP(CONCATENATE($G63,"-",$F63,"-Lone Person"),'Look-ups'!$Y$4:$AG$35,7,FALSE)</f>
        <v>165.85000000000002</v>
      </c>
      <c r="V63">
        <f>VLOOKUP(CONCATENATE($G63,"-",$F63,"-Lone Person"),'Look-ups'!$Y$4:$AG$35,8,FALSE)</f>
        <v>203.3</v>
      </c>
      <c r="W63">
        <f>VLOOKUP(CONCATENATE($G63,"-",$F63,"-Lone Person"),'Look-ups'!$Y$4:$AG$35,9,FALSE)</f>
        <v>192.60000000000002</v>
      </c>
      <c r="X63" s="117">
        <f>VLOOKUP(CONCATENATE($G63,"-",$F63,"-Couple Only"),'Look-ups'!$Y$4:$AG$35,5,FALSE)</f>
        <v>156.22</v>
      </c>
      <c r="Y63">
        <f>VLOOKUP(CONCATENATE($G63,"-",$F63,"-Couple Only"),'Look-ups'!$Y$4:$AG$35,6,FALSE)</f>
        <v>148.73000000000002</v>
      </c>
      <c r="Z63">
        <f>VLOOKUP(CONCATENATE($G63,"-",$F63,"-Couple Only"),'Look-ups'!$Y$4:$AG$35,7,FALSE)</f>
        <v>167.99</v>
      </c>
      <c r="AA63">
        <f>VLOOKUP(CONCATENATE($G63,"-",$F63,"-Couple Only"),'Look-ups'!$Y$4:$AG$35,8,FALSE)</f>
        <v>185.11</v>
      </c>
      <c r="AB63">
        <f>VLOOKUP(CONCATENATE($G63,"-",$F63,"-Couple Only"),'Look-ups'!$Y$4:$AG$35,9,FALSE)</f>
        <v>232.19000000000003</v>
      </c>
      <c r="AC63">
        <v>9</v>
      </c>
      <c r="AD63" t="s">
        <v>165</v>
      </c>
      <c r="AE63" s="287">
        <f>VLOOKUP($AD63,'Look-ups'!$A$122:$G$130,5,FALSE)</f>
        <v>6.0509554140127389E-2</v>
      </c>
      <c r="AF63" s="287">
        <f>VLOOKUP($AD63,'Look-ups'!$A$122:$G$130,6,FALSE)</f>
        <v>0.14171974522292993</v>
      </c>
      <c r="AG63" s="287">
        <f>VLOOKUP($AD63,'Look-ups'!$A$122:$G$130,7,FALSE)</f>
        <v>0.79777070063694266</v>
      </c>
      <c r="AH63" s="291">
        <f>VLOOKUP($AC63,'Look-ups'!$A$50:$AO$118,'Look-ups'!$B$133*4,FALSE)*0.277778</f>
        <v>14.028700976231834</v>
      </c>
      <c r="AI63" s="291">
        <f>VLOOKUP($AC63,'Look-ups'!$A$50:$AO$118,'Look-ups'!$B$133*4+1,FALSE)*0.277778</f>
        <v>33.471337023768172</v>
      </c>
      <c r="AJ63" s="291">
        <f>AE63*$AH63/'Look-ups'!$B$141</f>
        <v>1.1096345637084422</v>
      </c>
      <c r="AK63" s="291">
        <f>AF63*$AH63/'Look-ups'!$B$140</f>
        <v>2.7234848330962249</v>
      </c>
      <c r="AL63" s="291">
        <f>AG63*$AH63/'Look-ups'!$B$137</f>
        <v>2.1317498298732631</v>
      </c>
      <c r="AM63" s="291">
        <f>AI63/'Look-ups'!$B$136</f>
        <v>7.0465972681617206</v>
      </c>
      <c r="AN63" s="290">
        <f>AJ63*VLOOKUP($AD63,'Look-ups'!$A$123:$M$130,10,FALSE)</f>
        <v>0.30114249131754106</v>
      </c>
      <c r="AO63" s="290">
        <f>AK63*VLOOKUP($AD63,'Look-ups'!$A$123:$M$130,9,FALSE)</f>
        <v>0.59020095121061678</v>
      </c>
      <c r="AP63" s="290">
        <f>(AL63+AM63)*VLOOKUP($AD63,'Look-ups'!$A$123:$M$130,8,FALSE)</f>
        <v>2.9370710713711947</v>
      </c>
      <c r="AQ63" s="290">
        <f t="shared" si="0"/>
        <v>3.8284145138993528</v>
      </c>
      <c r="AR63" s="292">
        <f>AJ63*VLOOKUP($AD63,'Look-ups'!$A$123:$M$130,11,FALSE)</f>
        <v>4.7937555403756004E-3</v>
      </c>
      <c r="AS63" s="292">
        <f>AK63*VLOOKUP($AD63,'Look-ups'!$A$123:$M$130,12,FALSE)</f>
        <v>0.50524237120440829</v>
      </c>
      <c r="AT63" s="292">
        <f>(AL63+AM63)*VLOOKUP($AD63,'Look-ups'!$A$123:$M$130,13,FALSE)</f>
        <v>2.3432320141283314</v>
      </c>
      <c r="AU63" s="292">
        <f t="shared" si="1"/>
        <v>2.8532681408731153</v>
      </c>
    </row>
    <row r="64" spans="1:47" x14ac:dyDescent="0.25">
      <c r="A64">
        <v>3001</v>
      </c>
      <c r="B64" t="s">
        <v>1010</v>
      </c>
      <c r="C64">
        <v>304.0917</v>
      </c>
      <c r="D64">
        <v>14523</v>
      </c>
      <c r="E64">
        <v>47.758620179373523</v>
      </c>
      <c r="F64" t="s">
        <v>172</v>
      </c>
      <c r="G64" t="s">
        <v>165</v>
      </c>
      <c r="H64">
        <f>VLOOKUP(CONCATENATE($G64,"-",$F64,"-",$H$2),'Look-ups'!$O$3:$S$34,5,FALSE)*VLOOKUP(CONCATENATE($F64,"-",$H$2,"-",H$3),'Look-ups'!$I$3:$M$24,5,FALSE)</f>
        <v>201.33333333333331</v>
      </c>
      <c r="I64">
        <f>VLOOKUP(CONCATENATE($G64,"-",$F64,"-",$H$2),'Look-ups'!$O$3:$S$34,5,FALSE)*VLOOKUP(CONCATENATE($F64,"-",$H$2,"-",I$3),'Look-ups'!$I$3:$M$24,5,FALSE)</f>
        <v>302</v>
      </c>
      <c r="J64">
        <f>VLOOKUP(CONCATENATE($G64,"-",$F64,"-",$H$2),'Look-ups'!$O$3:$S$34,5,FALSE)*VLOOKUP(CONCATENATE($F64,"-",$H$2,"-",J$3),'Look-ups'!$I$3:$M$24,5,FALSE)</f>
        <v>352.33333333333337</v>
      </c>
      <c r="K64">
        <f>VLOOKUP(CONCATENATE($G64,"-",$F64,"-",$H$2),'Look-ups'!$O$3:$S$34,5,FALSE)*VLOOKUP(CONCATENATE($F64,"-",$H$2,"-",K$3),'Look-ups'!$I$3:$M$24,5,FALSE)</f>
        <v>453</v>
      </c>
      <c r="L64">
        <f>VLOOKUP(CONCATENATE($G64,"-",$F64,"-",$H$2),'Look-ups'!$O$3:$S$34,5,FALSE)*VLOOKUP(CONCATENATE($F64,"-",$H$2,"-",L$3),'Look-ups'!$I$3:$M$24,5,FALSE)</f>
        <v>503.33333333333337</v>
      </c>
      <c r="M64">
        <f>VLOOKUP(CONCATENATE($G64,"-",$F64,"-",$H$2),'Look-ups'!$O$3:$S$34,5,FALSE)*VLOOKUP(CONCATENATE($F64,"-",$H$2,"-",M$3),'Look-ups'!$I$3:$M$24,5,FALSE)</f>
        <v>553.66666666666663</v>
      </c>
      <c r="N64">
        <f>VLOOKUP(CONCATENATE($G64,"-",$F64,"-",$N$2),'Look-ups'!$O$3:$S$34,5,FALSE)*VLOOKUP(CONCATENATE($F64,"-",$N$2,"-",N$3),'Look-ups'!$I$3:$M$24,5,FALSE)</f>
        <v>218.25</v>
      </c>
      <c r="O64">
        <f>VLOOKUP(CONCATENATE($G64,"-",$F64,"-",$N$2),'Look-ups'!$O$3:$S$34,5,FALSE)*VLOOKUP(CONCATENATE($F64,"-",$N$2,"-",O$3),'Look-ups'!$I$3:$M$24,5,FALSE)</f>
        <v>218.25</v>
      </c>
      <c r="P64">
        <f>VLOOKUP(CONCATENATE($G64,"-",$F64,"-",$N$2),'Look-ups'!$O$3:$S$34,5,FALSE)*VLOOKUP(CONCATENATE($F64,"-",$N$2,"-",P$3),'Look-ups'!$I$3:$M$24,5,FALSE)</f>
        <v>291</v>
      </c>
      <c r="Q64">
        <f>VLOOKUP(CONCATENATE($G64,"-",$F64,"-",$N$2),'Look-ups'!$O$3:$S$34,5,FALSE)*VLOOKUP(CONCATENATE($F64,"-",$N$2,"-",Q$3),'Look-ups'!$I$3:$M$24,5,FALSE)</f>
        <v>374.14285714285717</v>
      </c>
      <c r="R64">
        <f>VLOOKUP(CONCATENATE($G64,"-",$F64,"-",$N$2),'Look-ups'!$O$3:$S$34,5,FALSE)*VLOOKUP(CONCATENATE($F64,"-",$N$2,"-",R$3),'Look-ups'!$I$3:$M$24,5,FALSE)</f>
        <v>426.10714285714283</v>
      </c>
      <c r="S64" s="117">
        <f>VLOOKUP(CONCATENATE($G64,"-",$F64,"-Lone Person"),'Look-ups'!$Y$4:$AG$35,5,FALSE)</f>
        <v>97.37</v>
      </c>
      <c r="T64">
        <f>VLOOKUP(CONCATENATE($G64,"-",$F64,"-Lone Person"),'Look-ups'!$Y$4:$AG$35,6,FALSE)</f>
        <v>138.03</v>
      </c>
      <c r="U64">
        <f>VLOOKUP(CONCATENATE($G64,"-",$F64,"-Lone Person"),'Look-ups'!$Y$4:$AG$35,7,FALSE)</f>
        <v>165.85000000000002</v>
      </c>
      <c r="V64">
        <f>VLOOKUP(CONCATENATE($G64,"-",$F64,"-Lone Person"),'Look-ups'!$Y$4:$AG$35,8,FALSE)</f>
        <v>203.3</v>
      </c>
      <c r="W64">
        <f>VLOOKUP(CONCATENATE($G64,"-",$F64,"-Lone Person"),'Look-ups'!$Y$4:$AG$35,9,FALSE)</f>
        <v>192.60000000000002</v>
      </c>
      <c r="X64" s="117">
        <f>VLOOKUP(CONCATENATE($G64,"-",$F64,"-Couple Only"),'Look-ups'!$Y$4:$AG$35,5,FALSE)</f>
        <v>156.22</v>
      </c>
      <c r="Y64">
        <f>VLOOKUP(CONCATENATE($G64,"-",$F64,"-Couple Only"),'Look-ups'!$Y$4:$AG$35,6,FALSE)</f>
        <v>148.73000000000002</v>
      </c>
      <c r="Z64">
        <f>VLOOKUP(CONCATENATE($G64,"-",$F64,"-Couple Only"),'Look-ups'!$Y$4:$AG$35,7,FALSE)</f>
        <v>167.99</v>
      </c>
      <c r="AA64">
        <f>VLOOKUP(CONCATENATE($G64,"-",$F64,"-Couple Only"),'Look-ups'!$Y$4:$AG$35,8,FALSE)</f>
        <v>185.11</v>
      </c>
      <c r="AB64">
        <f>VLOOKUP(CONCATENATE($G64,"-",$F64,"-Couple Only"),'Look-ups'!$Y$4:$AG$35,9,FALSE)</f>
        <v>232.19000000000003</v>
      </c>
      <c r="AC64">
        <v>35</v>
      </c>
      <c r="AD64" t="s">
        <v>165</v>
      </c>
      <c r="AE64" s="287">
        <f>VLOOKUP($AD64,'Look-ups'!$A$122:$G$130,5,FALSE)</f>
        <v>6.0509554140127389E-2</v>
      </c>
      <c r="AF64" s="287">
        <f>VLOOKUP($AD64,'Look-ups'!$A$122:$G$130,6,FALSE)</f>
        <v>0.14171974522292993</v>
      </c>
      <c r="AG64" s="287">
        <f>VLOOKUP($AD64,'Look-ups'!$A$122:$G$130,7,FALSE)</f>
        <v>0.79777070063694266</v>
      </c>
      <c r="AH64" s="291">
        <f>VLOOKUP($AC64,'Look-ups'!$A$50:$AO$118,'Look-ups'!$B$133*4,FALSE)*0.277778</f>
        <v>0.66847090452090363</v>
      </c>
      <c r="AI64" s="291">
        <f>VLOOKUP($AC64,'Look-ups'!$A$50:$AO$118,'Look-ups'!$B$133*4+1,FALSE)*0.277778</f>
        <v>43.498231095479099</v>
      </c>
      <c r="AJ64" s="291">
        <f>AE64*$AH64/'Look-ups'!$B$141</f>
        <v>5.2874348219879151E-2</v>
      </c>
      <c r="AK64" s="291">
        <f>AF64*$AH64/'Look-ups'!$B$140</f>
        <v>0.12977469353101914</v>
      </c>
      <c r="AL64" s="291">
        <f>AG64*$AH64/'Look-ups'!$B$137</f>
        <v>0.10157838130572421</v>
      </c>
      <c r="AM64" s="291">
        <f>AI64/'Look-ups'!$B$136</f>
        <v>9.1575223358903362</v>
      </c>
      <c r="AN64" s="290">
        <f>AJ64*VLOOKUP($AD64,'Look-ups'!$A$123:$M$130,10,FALSE)</f>
        <v>1.4349510614117201E-2</v>
      </c>
      <c r="AO64" s="290">
        <f>AK64*VLOOKUP($AD64,'Look-ups'!$A$123:$M$130,9,FALSE)</f>
        <v>2.8123214285720097E-2</v>
      </c>
      <c r="AP64" s="290">
        <f>(AL64+AM64)*VLOOKUP($AD64,'Look-ups'!$A$123:$M$130,8,FALSE)</f>
        <v>2.9629122295027397</v>
      </c>
      <c r="AQ64" s="290">
        <f t="shared" si="0"/>
        <v>3.0053849544025768</v>
      </c>
      <c r="AR64" s="292">
        <f>AJ64*VLOOKUP($AD64,'Look-ups'!$A$123:$M$130,11,FALSE)</f>
        <v>2.2842358017012267E-4</v>
      </c>
      <c r="AS64" s="292">
        <f>AK64*VLOOKUP($AD64,'Look-ups'!$A$123:$M$130,12,FALSE)</f>
        <v>2.4074917945254768E-2</v>
      </c>
      <c r="AT64" s="292">
        <f>(AL64+AM64)*VLOOKUP($AD64,'Look-ups'!$A$123:$M$130,13,FALSE)</f>
        <v>2.3638484131001545</v>
      </c>
      <c r="AU64" s="292">
        <f t="shared" si="1"/>
        <v>2.3881517546255795</v>
      </c>
    </row>
    <row r="65" spans="1:47" x14ac:dyDescent="0.25">
      <c r="A65">
        <v>3002</v>
      </c>
      <c r="B65" t="s">
        <v>355</v>
      </c>
      <c r="C65">
        <v>6462.4053000000004</v>
      </c>
      <c r="D65">
        <v>2447280</v>
      </c>
      <c r="E65">
        <v>378.69491101092035</v>
      </c>
      <c r="F65" t="s">
        <v>171</v>
      </c>
      <c r="G65" t="s">
        <v>165</v>
      </c>
      <c r="H65">
        <f>VLOOKUP(CONCATENATE($G65,"-",$F65,"-",$H$2),'Look-ups'!$O$3:$S$34,5,FALSE)*VLOOKUP(CONCATENATE($F65,"-",$H$2,"-",H$3),'Look-ups'!$I$3:$M$24,5,FALSE)</f>
        <v>224.30555555555554</v>
      </c>
      <c r="I65">
        <f>VLOOKUP(CONCATENATE($G65,"-",$F65,"-",$H$2),'Look-ups'!$O$3:$S$34,5,FALSE)*VLOOKUP(CONCATENATE($F65,"-",$H$2,"-",I$3),'Look-ups'!$I$3:$M$24,5,FALSE)</f>
        <v>323</v>
      </c>
      <c r="J65">
        <f>VLOOKUP(CONCATENATE($G65,"-",$F65,"-",$H$2),'Look-ups'!$O$3:$S$34,5,FALSE)*VLOOKUP(CONCATENATE($F65,"-",$H$2,"-",J$3),'Look-ups'!$I$3:$M$24,5,FALSE)</f>
        <v>394.77777777777783</v>
      </c>
      <c r="K65">
        <f>VLOOKUP(CONCATENATE($G65,"-",$F65,"-",$H$2),'Look-ups'!$O$3:$S$34,5,FALSE)*VLOOKUP(CONCATENATE($F65,"-",$H$2,"-",K$3),'Look-ups'!$I$3:$M$24,5,FALSE)</f>
        <v>502.44444444444446</v>
      </c>
      <c r="L65">
        <f>VLOOKUP(CONCATENATE($G65,"-",$F65,"-",$H$2),'Look-ups'!$O$3:$S$34,5,FALSE)*VLOOKUP(CONCATENATE($F65,"-",$H$2,"-",L$3),'Look-ups'!$I$3:$M$24,5,FALSE)</f>
        <v>605.625</v>
      </c>
      <c r="M65">
        <f>VLOOKUP(CONCATENATE($G65,"-",$F65,"-",$H$2),'Look-ups'!$O$3:$S$34,5,FALSE)*VLOOKUP(CONCATENATE($F65,"-",$H$2,"-",M$3),'Look-ups'!$I$3:$M$24,5,FALSE)</f>
        <v>672.91666666666674</v>
      </c>
      <c r="N65">
        <f>VLOOKUP(CONCATENATE($G65,"-",$F65,"-",$N$2),'Look-ups'!$O$3:$S$34,5,FALSE)*VLOOKUP(CONCATENATE($F65,"-",$N$2,"-",N$3),'Look-ups'!$I$3:$M$24,5,FALSE)</f>
        <v>209.38666666666668</v>
      </c>
      <c r="O65">
        <f>VLOOKUP(CONCATENATE($G65,"-",$F65,"-",$N$2),'Look-ups'!$O$3:$S$34,5,FALSE)*VLOOKUP(CONCATENATE($F65,"-",$N$2,"-",O$3),'Look-ups'!$I$3:$M$24,5,FALSE)</f>
        <v>281.86666666666667</v>
      </c>
      <c r="P65">
        <f>VLOOKUP(CONCATENATE($G65,"-",$F65,"-",$N$2),'Look-ups'!$O$3:$S$34,5,FALSE)*VLOOKUP(CONCATENATE($F65,"-",$N$2,"-",P$3),'Look-ups'!$I$3:$M$24,5,FALSE)</f>
        <v>302</v>
      </c>
      <c r="Q65">
        <f>VLOOKUP(CONCATENATE($G65,"-",$F65,"-",$N$2),'Look-ups'!$O$3:$S$34,5,FALSE)*VLOOKUP(CONCATENATE($F65,"-",$N$2,"-",Q$3),'Look-ups'!$I$3:$M$24,5,FALSE)</f>
        <v>394.61333333333334</v>
      </c>
      <c r="R65">
        <f>VLOOKUP(CONCATENATE($G65,"-",$F65,"-",$N$2),'Look-ups'!$O$3:$S$34,5,FALSE)*VLOOKUP(CONCATENATE($F65,"-",$N$2,"-",R$3),'Look-ups'!$I$3:$M$24,5,FALSE)</f>
        <v>442.93333333333328</v>
      </c>
      <c r="S65" s="117">
        <f>VLOOKUP(CONCATENATE($G65,"-",$F65,"-Lone Person"),'Look-ups'!$Y$4:$AG$35,5,FALSE)</f>
        <v>127.33000000000001</v>
      </c>
      <c r="T65">
        <f>VLOOKUP(CONCATENATE($G65,"-",$F65,"-Lone Person"),'Look-ups'!$Y$4:$AG$35,6,FALSE)</f>
        <v>181.9</v>
      </c>
      <c r="U65">
        <f>VLOOKUP(CONCATENATE($G65,"-",$F65,"-Lone Person"),'Look-ups'!$Y$4:$AG$35,7,FALSE)</f>
        <v>217.21</v>
      </c>
      <c r="V65">
        <f>VLOOKUP(CONCATENATE($G65,"-",$F65,"-Lone Person"),'Look-ups'!$Y$4:$AG$35,8,FALSE)</f>
        <v>266.43</v>
      </c>
      <c r="W65">
        <f>VLOOKUP(CONCATENATE($G65,"-",$F65,"-Lone Person"),'Look-ups'!$Y$4:$AG$35,9,FALSE)</f>
        <v>252.52</v>
      </c>
      <c r="X65" s="117">
        <f>VLOOKUP(CONCATENATE($G65,"-",$F65,"-Couple Only"),'Look-ups'!$Y$4:$AG$35,5,FALSE)</f>
        <v>205.44</v>
      </c>
      <c r="Y65">
        <f>VLOOKUP(CONCATENATE($G65,"-",$F65,"-Couple Only"),'Look-ups'!$Y$4:$AG$35,6,FALSE)</f>
        <v>194.74</v>
      </c>
      <c r="Z65">
        <f>VLOOKUP(CONCATENATE($G65,"-",$F65,"-Couple Only"),'Look-ups'!$Y$4:$AG$35,7,FALSE)</f>
        <v>219.35000000000002</v>
      </c>
      <c r="AA65">
        <f>VLOOKUP(CONCATENATE($G65,"-",$F65,"-Couple Only"),'Look-ups'!$Y$4:$AG$35,8,FALSE)</f>
        <v>242.89000000000001</v>
      </c>
      <c r="AB65">
        <f>VLOOKUP(CONCATENATE($G65,"-",$F65,"-Couple Only"),'Look-ups'!$Y$4:$AG$35,9,FALSE)</f>
        <v>304.95000000000005</v>
      </c>
      <c r="AC65">
        <v>10</v>
      </c>
      <c r="AD65" t="s">
        <v>165</v>
      </c>
      <c r="AE65" s="287">
        <f>VLOOKUP($AD65,'Look-ups'!$A$122:$G$130,5,FALSE)</f>
        <v>6.0509554140127389E-2</v>
      </c>
      <c r="AF65" s="287">
        <f>VLOOKUP($AD65,'Look-ups'!$A$122:$G$130,6,FALSE)</f>
        <v>0.14171974522292993</v>
      </c>
      <c r="AG65" s="287">
        <f>VLOOKUP($AD65,'Look-ups'!$A$122:$G$130,7,FALSE)</f>
        <v>0.79777070063694266</v>
      </c>
      <c r="AH65" s="291">
        <f>VLOOKUP($AC65,'Look-ups'!$A$50:$AO$118,'Look-ups'!$B$133*4,FALSE)*0.277778</f>
        <v>5.039376206978595</v>
      </c>
      <c r="AI65" s="291">
        <f>VLOOKUP($AC65,'Look-ups'!$A$50:$AO$118,'Look-ups'!$B$133*4+1,FALSE)*0.277778</f>
        <v>28.571761793021409</v>
      </c>
      <c r="AJ65" s="291">
        <f>AE65*$AH65/'Look-ups'!$B$141</f>
        <v>0.39860183977600144</v>
      </c>
      <c r="AK65" s="291">
        <f>AF65*$AH65/'Look-ups'!$B$140</f>
        <v>0.9783275508705499</v>
      </c>
      <c r="AL65" s="291">
        <f>AG65*$AH65/'Look-ups'!$B$137</f>
        <v>0.76576508331703841</v>
      </c>
      <c r="AM65" s="291">
        <f>AI65/'Look-ups'!$B$136</f>
        <v>6.0151077458992441</v>
      </c>
      <c r="AN65" s="290">
        <f>AJ65*VLOOKUP($AD65,'Look-ups'!$A$123:$M$130,10,FALSE)</f>
        <v>0.10817611040587594</v>
      </c>
      <c r="AO65" s="290">
        <f>AK65*VLOOKUP($AD65,'Look-ups'!$A$123:$M$130,9,FALSE)</f>
        <v>0.21201140689405515</v>
      </c>
      <c r="AP65" s="290">
        <f>(AL65+AM65)*VLOOKUP($AD65,'Look-ups'!$A$123:$M$130,8,FALSE)</f>
        <v>2.1698793053492107</v>
      </c>
      <c r="AQ65" s="290">
        <f t="shared" si="0"/>
        <v>2.4900668226491418</v>
      </c>
      <c r="AR65" s="292">
        <f>AJ65*VLOOKUP($AD65,'Look-ups'!$A$123:$M$130,11,FALSE)</f>
        <v>1.7220081640609199E-3</v>
      </c>
      <c r="AS65" s="292">
        <f>AK65*VLOOKUP($AD65,'Look-ups'!$A$123:$M$130,12,FALSE)</f>
        <v>0.18149266910162884</v>
      </c>
      <c r="AT65" s="292">
        <f>(AL65+AM65)*VLOOKUP($AD65,'Look-ups'!$A$123:$M$130,13,FALSE)</f>
        <v>1.7311568332989171</v>
      </c>
      <c r="AU65" s="292">
        <f t="shared" si="1"/>
        <v>1.9143715105646069</v>
      </c>
    </row>
    <row r="66" spans="1:47" x14ac:dyDescent="0.25">
      <c r="A66">
        <v>3003</v>
      </c>
      <c r="B66" t="s">
        <v>356</v>
      </c>
      <c r="C66">
        <v>305.23180000000002</v>
      </c>
      <c r="D66">
        <v>73747</v>
      </c>
      <c r="E66">
        <v>241.60981916038889</v>
      </c>
      <c r="F66" t="s">
        <v>172</v>
      </c>
      <c r="G66" t="s">
        <v>165</v>
      </c>
      <c r="H66">
        <f>VLOOKUP(CONCATENATE($G66,"-",$F66,"-",$H$2),'Look-ups'!$O$3:$S$34,5,FALSE)*VLOOKUP(CONCATENATE($F66,"-",$H$2,"-",H$3),'Look-ups'!$I$3:$M$24,5,FALSE)</f>
        <v>201.33333333333331</v>
      </c>
      <c r="I66">
        <f>VLOOKUP(CONCATENATE($G66,"-",$F66,"-",$H$2),'Look-ups'!$O$3:$S$34,5,FALSE)*VLOOKUP(CONCATENATE($F66,"-",$H$2,"-",I$3),'Look-ups'!$I$3:$M$24,5,FALSE)</f>
        <v>302</v>
      </c>
      <c r="J66">
        <f>VLOOKUP(CONCATENATE($G66,"-",$F66,"-",$H$2),'Look-ups'!$O$3:$S$34,5,FALSE)*VLOOKUP(CONCATENATE($F66,"-",$H$2,"-",J$3),'Look-ups'!$I$3:$M$24,5,FALSE)</f>
        <v>352.33333333333337</v>
      </c>
      <c r="K66">
        <f>VLOOKUP(CONCATENATE($G66,"-",$F66,"-",$H$2),'Look-ups'!$O$3:$S$34,5,FALSE)*VLOOKUP(CONCATENATE($F66,"-",$H$2,"-",K$3),'Look-ups'!$I$3:$M$24,5,FALSE)</f>
        <v>453</v>
      </c>
      <c r="L66">
        <f>VLOOKUP(CONCATENATE($G66,"-",$F66,"-",$H$2),'Look-ups'!$O$3:$S$34,5,FALSE)*VLOOKUP(CONCATENATE($F66,"-",$H$2,"-",L$3),'Look-ups'!$I$3:$M$24,5,FALSE)</f>
        <v>503.33333333333337</v>
      </c>
      <c r="M66">
        <f>VLOOKUP(CONCATENATE($G66,"-",$F66,"-",$H$2),'Look-ups'!$O$3:$S$34,5,FALSE)*VLOOKUP(CONCATENATE($F66,"-",$H$2,"-",M$3),'Look-ups'!$I$3:$M$24,5,FALSE)</f>
        <v>553.66666666666663</v>
      </c>
      <c r="N66">
        <f>VLOOKUP(CONCATENATE($G66,"-",$F66,"-",$N$2),'Look-ups'!$O$3:$S$34,5,FALSE)*VLOOKUP(CONCATENATE($F66,"-",$N$2,"-",N$3),'Look-ups'!$I$3:$M$24,5,FALSE)</f>
        <v>218.25</v>
      </c>
      <c r="O66">
        <f>VLOOKUP(CONCATENATE($G66,"-",$F66,"-",$N$2),'Look-ups'!$O$3:$S$34,5,FALSE)*VLOOKUP(CONCATENATE($F66,"-",$N$2,"-",O$3),'Look-ups'!$I$3:$M$24,5,FALSE)</f>
        <v>218.25</v>
      </c>
      <c r="P66">
        <f>VLOOKUP(CONCATENATE($G66,"-",$F66,"-",$N$2),'Look-ups'!$O$3:$S$34,5,FALSE)*VLOOKUP(CONCATENATE($F66,"-",$N$2,"-",P$3),'Look-ups'!$I$3:$M$24,5,FALSE)</f>
        <v>291</v>
      </c>
      <c r="Q66">
        <f>VLOOKUP(CONCATENATE($G66,"-",$F66,"-",$N$2),'Look-ups'!$O$3:$S$34,5,FALSE)*VLOOKUP(CONCATENATE($F66,"-",$N$2,"-",Q$3),'Look-ups'!$I$3:$M$24,5,FALSE)</f>
        <v>374.14285714285717</v>
      </c>
      <c r="R66">
        <f>VLOOKUP(CONCATENATE($G66,"-",$F66,"-",$N$2),'Look-ups'!$O$3:$S$34,5,FALSE)*VLOOKUP(CONCATENATE($F66,"-",$N$2,"-",R$3),'Look-ups'!$I$3:$M$24,5,FALSE)</f>
        <v>426.10714285714283</v>
      </c>
      <c r="S66" s="117">
        <f>VLOOKUP(CONCATENATE($G66,"-",$F66,"-Lone Person"),'Look-ups'!$Y$4:$AG$35,5,FALSE)</f>
        <v>97.37</v>
      </c>
      <c r="T66">
        <f>VLOOKUP(CONCATENATE($G66,"-",$F66,"-Lone Person"),'Look-ups'!$Y$4:$AG$35,6,FALSE)</f>
        <v>138.03</v>
      </c>
      <c r="U66">
        <f>VLOOKUP(CONCATENATE($G66,"-",$F66,"-Lone Person"),'Look-ups'!$Y$4:$AG$35,7,FALSE)</f>
        <v>165.85000000000002</v>
      </c>
      <c r="V66">
        <f>VLOOKUP(CONCATENATE($G66,"-",$F66,"-Lone Person"),'Look-ups'!$Y$4:$AG$35,8,FALSE)</f>
        <v>203.3</v>
      </c>
      <c r="W66">
        <f>VLOOKUP(CONCATENATE($G66,"-",$F66,"-Lone Person"),'Look-ups'!$Y$4:$AG$35,9,FALSE)</f>
        <v>192.60000000000002</v>
      </c>
      <c r="X66" s="117">
        <f>VLOOKUP(CONCATENATE($G66,"-",$F66,"-Couple Only"),'Look-ups'!$Y$4:$AG$35,5,FALSE)</f>
        <v>156.22</v>
      </c>
      <c r="Y66">
        <f>VLOOKUP(CONCATENATE($G66,"-",$F66,"-Couple Only"),'Look-ups'!$Y$4:$AG$35,6,FALSE)</f>
        <v>148.73000000000002</v>
      </c>
      <c r="Z66">
        <f>VLOOKUP(CONCATENATE($G66,"-",$F66,"-Couple Only"),'Look-ups'!$Y$4:$AG$35,7,FALSE)</f>
        <v>167.99</v>
      </c>
      <c r="AA66">
        <f>VLOOKUP(CONCATENATE($G66,"-",$F66,"-Couple Only"),'Look-ups'!$Y$4:$AG$35,8,FALSE)</f>
        <v>185.11</v>
      </c>
      <c r="AB66">
        <f>VLOOKUP(CONCATENATE($G66,"-",$F66,"-Couple Only"),'Look-ups'!$Y$4:$AG$35,9,FALSE)</f>
        <v>232.19000000000003</v>
      </c>
      <c r="AC66">
        <v>36</v>
      </c>
      <c r="AD66" t="s">
        <v>165</v>
      </c>
      <c r="AE66" s="287">
        <f>VLOOKUP($AD66,'Look-ups'!$A$122:$G$130,5,FALSE)</f>
        <v>6.0509554140127389E-2</v>
      </c>
      <c r="AF66" s="287">
        <f>VLOOKUP($AD66,'Look-ups'!$A$122:$G$130,6,FALSE)</f>
        <v>0.14171974522292993</v>
      </c>
      <c r="AG66" s="287">
        <f>VLOOKUP($AD66,'Look-ups'!$A$122:$G$130,7,FALSE)</f>
        <v>0.79777070063694266</v>
      </c>
      <c r="AH66" s="291">
        <f>VLOOKUP($AC66,'Look-ups'!$A$50:$AO$118,'Look-ups'!$B$133*4,FALSE)*0.277778</f>
        <v>0.51660811486851754</v>
      </c>
      <c r="AI66" s="291">
        <f>VLOOKUP($AC66,'Look-ups'!$A$50:$AO$118,'Look-ups'!$B$133*4+1,FALSE)*0.277778</f>
        <v>38.927867885131484</v>
      </c>
      <c r="AJ66" s="291">
        <f>AE66*$AH66/'Look-ups'!$B$141</f>
        <v>4.0862387837732966E-2</v>
      </c>
      <c r="AK66" s="291">
        <f>AF66*$AH66/'Look-ups'!$B$140</f>
        <v>0.10029256221817044</v>
      </c>
      <c r="AL66" s="291">
        <f>AG66*$AH66/'Look-ups'!$B$137</f>
        <v>7.8501870048264269E-2</v>
      </c>
      <c r="AM66" s="291">
        <f>AI66/'Look-ups'!$B$136</f>
        <v>8.1953406073961013</v>
      </c>
      <c r="AN66" s="290">
        <f>AJ66*VLOOKUP($AD66,'Look-ups'!$A$123:$M$130,10,FALSE)</f>
        <v>1.1089598032629195E-2</v>
      </c>
      <c r="AO66" s="290">
        <f>AK66*VLOOKUP($AD66,'Look-ups'!$A$123:$M$130,9,FALSE)</f>
        <v>2.173420057317528E-2</v>
      </c>
      <c r="AP66" s="290">
        <f>(AL66+AM66)*VLOOKUP($AD66,'Look-ups'!$A$123:$M$130,8,FALSE)</f>
        <v>2.6476295927821969</v>
      </c>
      <c r="AQ66" s="290">
        <f t="shared" si="0"/>
        <v>2.6804533913880015</v>
      </c>
      <c r="AR66" s="292">
        <f>AJ66*VLOOKUP($AD66,'Look-ups'!$A$123:$M$130,11,FALSE)</f>
        <v>1.7653045831183913E-4</v>
      </c>
      <c r="AS66" s="292">
        <f>AK66*VLOOKUP($AD66,'Look-ups'!$A$123:$M$130,12,FALSE)</f>
        <v>1.8605593588588844E-2</v>
      </c>
      <c r="AT66" s="292">
        <f>(AL66+AM66)*VLOOKUP($AD66,'Look-ups'!$A$123:$M$130,13,FALSE)</f>
        <v>2.1123119844915466</v>
      </c>
      <c r="AU66" s="292">
        <f t="shared" si="1"/>
        <v>2.1310941085384472</v>
      </c>
    </row>
    <row r="67" spans="1:47" x14ac:dyDescent="0.25">
      <c r="A67">
        <v>3004</v>
      </c>
      <c r="B67" t="s">
        <v>357</v>
      </c>
      <c r="C67">
        <v>254.06180000000001</v>
      </c>
      <c r="D67">
        <v>153425</v>
      </c>
      <c r="E67">
        <v>603.88850271862987</v>
      </c>
      <c r="F67" t="s">
        <v>172</v>
      </c>
      <c r="G67" t="s">
        <v>165</v>
      </c>
      <c r="H67">
        <f>VLOOKUP(CONCATENATE($G67,"-",$F67,"-",$H$2),'Look-ups'!$O$3:$S$34,5,FALSE)*VLOOKUP(CONCATENATE($F67,"-",$H$2,"-",H$3),'Look-ups'!$I$3:$M$24,5,FALSE)</f>
        <v>201.33333333333331</v>
      </c>
      <c r="I67">
        <f>VLOOKUP(CONCATENATE($G67,"-",$F67,"-",$H$2),'Look-ups'!$O$3:$S$34,5,FALSE)*VLOOKUP(CONCATENATE($F67,"-",$H$2,"-",I$3),'Look-ups'!$I$3:$M$24,5,FALSE)</f>
        <v>302</v>
      </c>
      <c r="J67">
        <f>VLOOKUP(CONCATENATE($G67,"-",$F67,"-",$H$2),'Look-ups'!$O$3:$S$34,5,FALSE)*VLOOKUP(CONCATENATE($F67,"-",$H$2,"-",J$3),'Look-ups'!$I$3:$M$24,5,FALSE)</f>
        <v>352.33333333333337</v>
      </c>
      <c r="K67">
        <f>VLOOKUP(CONCATENATE($G67,"-",$F67,"-",$H$2),'Look-ups'!$O$3:$S$34,5,FALSE)*VLOOKUP(CONCATENATE($F67,"-",$H$2,"-",K$3),'Look-ups'!$I$3:$M$24,5,FALSE)</f>
        <v>453</v>
      </c>
      <c r="L67">
        <f>VLOOKUP(CONCATENATE($G67,"-",$F67,"-",$H$2),'Look-ups'!$O$3:$S$34,5,FALSE)*VLOOKUP(CONCATENATE($F67,"-",$H$2,"-",L$3),'Look-ups'!$I$3:$M$24,5,FALSE)</f>
        <v>503.33333333333337</v>
      </c>
      <c r="M67">
        <f>VLOOKUP(CONCATENATE($G67,"-",$F67,"-",$H$2),'Look-ups'!$O$3:$S$34,5,FALSE)*VLOOKUP(CONCATENATE($F67,"-",$H$2,"-",M$3),'Look-ups'!$I$3:$M$24,5,FALSE)</f>
        <v>553.66666666666663</v>
      </c>
      <c r="N67">
        <f>VLOOKUP(CONCATENATE($G67,"-",$F67,"-",$N$2),'Look-ups'!$O$3:$S$34,5,FALSE)*VLOOKUP(CONCATENATE($F67,"-",$N$2,"-",N$3),'Look-ups'!$I$3:$M$24,5,FALSE)</f>
        <v>218.25</v>
      </c>
      <c r="O67">
        <f>VLOOKUP(CONCATENATE($G67,"-",$F67,"-",$N$2),'Look-ups'!$O$3:$S$34,5,FALSE)*VLOOKUP(CONCATENATE($F67,"-",$N$2,"-",O$3),'Look-ups'!$I$3:$M$24,5,FALSE)</f>
        <v>218.25</v>
      </c>
      <c r="P67">
        <f>VLOOKUP(CONCATENATE($G67,"-",$F67,"-",$N$2),'Look-ups'!$O$3:$S$34,5,FALSE)*VLOOKUP(CONCATENATE($F67,"-",$N$2,"-",P$3),'Look-ups'!$I$3:$M$24,5,FALSE)</f>
        <v>291</v>
      </c>
      <c r="Q67">
        <f>VLOOKUP(CONCATENATE($G67,"-",$F67,"-",$N$2),'Look-ups'!$O$3:$S$34,5,FALSE)*VLOOKUP(CONCATENATE($F67,"-",$N$2,"-",Q$3),'Look-ups'!$I$3:$M$24,5,FALSE)</f>
        <v>374.14285714285717</v>
      </c>
      <c r="R67">
        <f>VLOOKUP(CONCATENATE($G67,"-",$F67,"-",$N$2),'Look-ups'!$O$3:$S$34,5,FALSE)*VLOOKUP(CONCATENATE($F67,"-",$N$2,"-",R$3),'Look-ups'!$I$3:$M$24,5,FALSE)</f>
        <v>426.10714285714283</v>
      </c>
      <c r="S67" s="117">
        <f>VLOOKUP(CONCATENATE($G67,"-",$F67,"-Lone Person"),'Look-ups'!$Y$4:$AG$35,5,FALSE)</f>
        <v>97.37</v>
      </c>
      <c r="T67">
        <f>VLOOKUP(CONCATENATE($G67,"-",$F67,"-Lone Person"),'Look-ups'!$Y$4:$AG$35,6,FALSE)</f>
        <v>138.03</v>
      </c>
      <c r="U67">
        <f>VLOOKUP(CONCATENATE($G67,"-",$F67,"-Lone Person"),'Look-ups'!$Y$4:$AG$35,7,FALSE)</f>
        <v>165.85000000000002</v>
      </c>
      <c r="V67">
        <f>VLOOKUP(CONCATENATE($G67,"-",$F67,"-Lone Person"),'Look-ups'!$Y$4:$AG$35,8,FALSE)</f>
        <v>203.3</v>
      </c>
      <c r="W67">
        <f>VLOOKUP(CONCATENATE($G67,"-",$F67,"-Lone Person"),'Look-ups'!$Y$4:$AG$35,9,FALSE)</f>
        <v>192.60000000000002</v>
      </c>
      <c r="X67" s="117">
        <f>VLOOKUP(CONCATENATE($G67,"-",$F67,"-Couple Only"),'Look-ups'!$Y$4:$AG$35,5,FALSE)</f>
        <v>156.22</v>
      </c>
      <c r="Y67">
        <f>VLOOKUP(CONCATENATE($G67,"-",$F67,"-Couple Only"),'Look-ups'!$Y$4:$AG$35,6,FALSE)</f>
        <v>148.73000000000002</v>
      </c>
      <c r="Z67">
        <f>VLOOKUP(CONCATENATE($G67,"-",$F67,"-Couple Only"),'Look-ups'!$Y$4:$AG$35,7,FALSE)</f>
        <v>167.99</v>
      </c>
      <c r="AA67">
        <f>VLOOKUP(CONCATENATE($G67,"-",$F67,"-Couple Only"),'Look-ups'!$Y$4:$AG$35,8,FALSE)</f>
        <v>185.11</v>
      </c>
      <c r="AB67">
        <f>VLOOKUP(CONCATENATE($G67,"-",$F67,"-Couple Only"),'Look-ups'!$Y$4:$AG$35,9,FALSE)</f>
        <v>232.19000000000003</v>
      </c>
      <c r="AC67">
        <v>32</v>
      </c>
      <c r="AD67" t="s">
        <v>165</v>
      </c>
      <c r="AE67" s="287">
        <f>VLOOKUP($AD67,'Look-ups'!$A$122:$G$130,5,FALSE)</f>
        <v>6.0509554140127389E-2</v>
      </c>
      <c r="AF67" s="287">
        <f>VLOOKUP($AD67,'Look-ups'!$A$122:$G$130,6,FALSE)</f>
        <v>0.14171974522292993</v>
      </c>
      <c r="AG67" s="287">
        <f>VLOOKUP($AD67,'Look-ups'!$A$122:$G$130,7,FALSE)</f>
        <v>0.79777070063694266</v>
      </c>
      <c r="AH67" s="291">
        <f>VLOOKUP($AC67,'Look-ups'!$A$50:$AO$118,'Look-ups'!$B$133*4,FALSE)*0.277778</f>
        <v>6.1556502565432179E-2</v>
      </c>
      <c r="AI67" s="291">
        <f>VLOOKUP($AC67,'Look-ups'!$A$50:$AO$118,'Look-ups'!$B$133*4+1,FALSE)*0.277778</f>
        <v>64.660717497434575</v>
      </c>
      <c r="AJ67" s="291">
        <f>AE67*$AH67/'Look-ups'!$B$141</f>
        <v>4.8689627773332153E-3</v>
      </c>
      <c r="AK67" s="291">
        <f>AF67*$AH67/'Look-ups'!$B$140</f>
        <v>1.1950372411489975E-2</v>
      </c>
      <c r="AL67" s="291">
        <f>AG67*$AH67/'Look-ups'!$B$137</f>
        <v>9.3538998438827785E-3</v>
      </c>
      <c r="AM67" s="291">
        <f>AI67/'Look-ups'!$B$136</f>
        <v>13.612782631038858</v>
      </c>
      <c r="AN67" s="290">
        <f>AJ67*VLOOKUP($AD67,'Look-ups'!$A$123:$M$130,10,FALSE)</f>
        <v>1.3213823981818196E-3</v>
      </c>
      <c r="AO67" s="290">
        <f>AK67*VLOOKUP($AD67,'Look-ups'!$A$123:$M$130,9,FALSE)</f>
        <v>2.5897413045491697E-3</v>
      </c>
      <c r="AP67" s="290">
        <f>(AL67+AM67)*VLOOKUP($AD67,'Look-ups'!$A$123:$M$130,8,FALSE)</f>
        <v>4.3590836898824765</v>
      </c>
      <c r="AQ67" s="290">
        <f t="shared" si="0"/>
        <v>4.3629948135852077</v>
      </c>
      <c r="AR67" s="292">
        <f>AJ67*VLOOKUP($AD67,'Look-ups'!$A$123:$M$130,11,FALSE)</f>
        <v>2.103450816430809E-5</v>
      </c>
      <c r="AS67" s="292">
        <f>AK67*VLOOKUP($AD67,'Look-ups'!$A$123:$M$130,12,FALSE)</f>
        <v>2.2169517599599613E-3</v>
      </c>
      <c r="AT67" s="292">
        <f>(AL67+AM67)*VLOOKUP($AD67,'Look-ups'!$A$123:$M$130,13,FALSE)</f>
        <v>3.477731456334364</v>
      </c>
      <c r="AU67" s="292">
        <f t="shared" si="1"/>
        <v>3.4799694426024881</v>
      </c>
    </row>
    <row r="68" spans="1:47" x14ac:dyDescent="0.25">
      <c r="A68">
        <v>3005</v>
      </c>
      <c r="B68" t="s">
        <v>358</v>
      </c>
      <c r="C68">
        <v>38.9819999999999</v>
      </c>
      <c r="D68">
        <v>14089</v>
      </c>
      <c r="E68">
        <v>361.42322097378371</v>
      </c>
      <c r="F68" t="s">
        <v>172</v>
      </c>
      <c r="G68" t="s">
        <v>165</v>
      </c>
      <c r="H68">
        <f>VLOOKUP(CONCATENATE($G68,"-",$F68,"-",$H$2),'Look-ups'!$O$3:$S$34,5,FALSE)*VLOOKUP(CONCATENATE($F68,"-",$H$2,"-",H$3),'Look-ups'!$I$3:$M$24,5,FALSE)</f>
        <v>201.33333333333331</v>
      </c>
      <c r="I68">
        <f>VLOOKUP(CONCATENATE($G68,"-",$F68,"-",$H$2),'Look-ups'!$O$3:$S$34,5,FALSE)*VLOOKUP(CONCATENATE($F68,"-",$H$2,"-",I$3),'Look-ups'!$I$3:$M$24,5,FALSE)</f>
        <v>302</v>
      </c>
      <c r="J68">
        <f>VLOOKUP(CONCATENATE($G68,"-",$F68,"-",$H$2),'Look-ups'!$O$3:$S$34,5,FALSE)*VLOOKUP(CONCATENATE($F68,"-",$H$2,"-",J$3),'Look-ups'!$I$3:$M$24,5,FALSE)</f>
        <v>352.33333333333337</v>
      </c>
      <c r="K68">
        <f>VLOOKUP(CONCATENATE($G68,"-",$F68,"-",$H$2),'Look-ups'!$O$3:$S$34,5,FALSE)*VLOOKUP(CONCATENATE($F68,"-",$H$2,"-",K$3),'Look-ups'!$I$3:$M$24,5,FALSE)</f>
        <v>453</v>
      </c>
      <c r="L68">
        <f>VLOOKUP(CONCATENATE($G68,"-",$F68,"-",$H$2),'Look-ups'!$O$3:$S$34,5,FALSE)*VLOOKUP(CONCATENATE($F68,"-",$H$2,"-",L$3),'Look-ups'!$I$3:$M$24,5,FALSE)</f>
        <v>503.33333333333337</v>
      </c>
      <c r="M68">
        <f>VLOOKUP(CONCATENATE($G68,"-",$F68,"-",$H$2),'Look-ups'!$O$3:$S$34,5,FALSE)*VLOOKUP(CONCATENATE($F68,"-",$H$2,"-",M$3),'Look-ups'!$I$3:$M$24,5,FALSE)</f>
        <v>553.66666666666663</v>
      </c>
      <c r="N68">
        <f>VLOOKUP(CONCATENATE($G68,"-",$F68,"-",$N$2),'Look-ups'!$O$3:$S$34,5,FALSE)*VLOOKUP(CONCATENATE($F68,"-",$N$2,"-",N$3),'Look-ups'!$I$3:$M$24,5,FALSE)</f>
        <v>218.25</v>
      </c>
      <c r="O68">
        <f>VLOOKUP(CONCATENATE($G68,"-",$F68,"-",$N$2),'Look-ups'!$O$3:$S$34,5,FALSE)*VLOOKUP(CONCATENATE($F68,"-",$N$2,"-",O$3),'Look-ups'!$I$3:$M$24,5,FALSE)</f>
        <v>218.25</v>
      </c>
      <c r="P68">
        <f>VLOOKUP(CONCATENATE($G68,"-",$F68,"-",$N$2),'Look-ups'!$O$3:$S$34,5,FALSE)*VLOOKUP(CONCATENATE($F68,"-",$N$2,"-",P$3),'Look-ups'!$I$3:$M$24,5,FALSE)</f>
        <v>291</v>
      </c>
      <c r="Q68">
        <f>VLOOKUP(CONCATENATE($G68,"-",$F68,"-",$N$2),'Look-ups'!$O$3:$S$34,5,FALSE)*VLOOKUP(CONCATENATE($F68,"-",$N$2,"-",Q$3),'Look-ups'!$I$3:$M$24,5,FALSE)</f>
        <v>374.14285714285717</v>
      </c>
      <c r="R68">
        <f>VLOOKUP(CONCATENATE($G68,"-",$F68,"-",$N$2),'Look-ups'!$O$3:$S$34,5,FALSE)*VLOOKUP(CONCATENATE($F68,"-",$N$2,"-",R$3),'Look-ups'!$I$3:$M$24,5,FALSE)</f>
        <v>426.10714285714283</v>
      </c>
      <c r="S68" s="117">
        <f>VLOOKUP(CONCATENATE($G68,"-",$F68,"-Lone Person"),'Look-ups'!$Y$4:$AG$35,5,FALSE)</f>
        <v>97.37</v>
      </c>
      <c r="T68">
        <f>VLOOKUP(CONCATENATE($G68,"-",$F68,"-Lone Person"),'Look-ups'!$Y$4:$AG$35,6,FALSE)</f>
        <v>138.03</v>
      </c>
      <c r="U68">
        <f>VLOOKUP(CONCATENATE($G68,"-",$F68,"-Lone Person"),'Look-ups'!$Y$4:$AG$35,7,FALSE)</f>
        <v>165.85000000000002</v>
      </c>
      <c r="V68">
        <f>VLOOKUP(CONCATENATE($G68,"-",$F68,"-Lone Person"),'Look-ups'!$Y$4:$AG$35,8,FALSE)</f>
        <v>203.3</v>
      </c>
      <c r="W68">
        <f>VLOOKUP(CONCATENATE($G68,"-",$F68,"-Lone Person"),'Look-ups'!$Y$4:$AG$35,9,FALSE)</f>
        <v>192.60000000000002</v>
      </c>
      <c r="X68" s="117">
        <f>VLOOKUP(CONCATENATE($G68,"-",$F68,"-Couple Only"),'Look-ups'!$Y$4:$AG$35,5,FALSE)</f>
        <v>156.22</v>
      </c>
      <c r="Y68">
        <f>VLOOKUP(CONCATENATE($G68,"-",$F68,"-Couple Only"),'Look-ups'!$Y$4:$AG$35,6,FALSE)</f>
        <v>148.73000000000002</v>
      </c>
      <c r="Z68">
        <f>VLOOKUP(CONCATENATE($G68,"-",$F68,"-Couple Only"),'Look-ups'!$Y$4:$AG$35,7,FALSE)</f>
        <v>167.99</v>
      </c>
      <c r="AA68">
        <f>VLOOKUP(CONCATENATE($G68,"-",$F68,"-Couple Only"),'Look-ups'!$Y$4:$AG$35,8,FALSE)</f>
        <v>185.11</v>
      </c>
      <c r="AB68">
        <f>VLOOKUP(CONCATENATE($G68,"-",$F68,"-Couple Only"),'Look-ups'!$Y$4:$AG$35,9,FALSE)</f>
        <v>232.19000000000003</v>
      </c>
      <c r="AC68">
        <v>3</v>
      </c>
      <c r="AD68" t="s">
        <v>165</v>
      </c>
      <c r="AE68" s="287">
        <f>VLOOKUP($AD68,'Look-ups'!$A$122:$G$130,5,FALSE)</f>
        <v>6.0509554140127389E-2</v>
      </c>
      <c r="AF68" s="287">
        <f>VLOOKUP($AD68,'Look-ups'!$A$122:$G$130,6,FALSE)</f>
        <v>0.14171974522292993</v>
      </c>
      <c r="AG68" s="287">
        <f>VLOOKUP($AD68,'Look-ups'!$A$122:$G$130,7,FALSE)</f>
        <v>0.79777070063694266</v>
      </c>
      <c r="AH68" s="291">
        <f>VLOOKUP($AC68,'Look-ups'!$A$50:$AO$118,'Look-ups'!$B$133*4,FALSE)*0.277778</f>
        <v>4.535734934713993</v>
      </c>
      <c r="AI68" s="291">
        <f>VLOOKUP($AC68,'Look-ups'!$A$50:$AO$118,'Look-ups'!$B$133*4+1,FALSE)*0.277778</f>
        <v>69.075435065286015</v>
      </c>
      <c r="AJ68" s="291">
        <f>AE68*$AH68/'Look-ups'!$B$141</f>
        <v>0.35876509620567787</v>
      </c>
      <c r="AK68" s="291">
        <f>AF68*$AH68/'Look-ups'!$B$140</f>
        <v>0.88055232787179427</v>
      </c>
      <c r="AL68" s="291">
        <f>AG68*$AH68/'Look-ups'!$B$137</f>
        <v>0.68923360700385516</v>
      </c>
      <c r="AM68" s="291">
        <f>AI68/'Look-ups'!$B$136</f>
        <v>14.542196855849687</v>
      </c>
      <c r="AN68" s="290">
        <f>AJ68*VLOOKUP($AD68,'Look-ups'!$A$123:$M$130,10,FALSE)</f>
        <v>9.7364860831374231E-2</v>
      </c>
      <c r="AO68" s="290">
        <f>AK68*VLOOKUP($AD68,'Look-ups'!$A$123:$M$130,9,FALSE)</f>
        <v>0.19082273386844081</v>
      </c>
      <c r="AP68" s="290">
        <f>(AL68+AM68)*VLOOKUP($AD68,'Look-ups'!$A$123:$M$130,8,FALSE)</f>
        <v>4.8740577481131337</v>
      </c>
      <c r="AQ68" s="290">
        <f t="shared" si="0"/>
        <v>5.1622453428129491</v>
      </c>
      <c r="AR68" s="292">
        <f>AJ68*VLOOKUP($AD68,'Look-ups'!$A$123:$M$130,11,FALSE)</f>
        <v>1.5499086130496937E-3</v>
      </c>
      <c r="AS68" s="292">
        <f>AK68*VLOOKUP($AD68,'Look-ups'!$A$123:$M$130,12,FALSE)</f>
        <v>0.16335407515294512</v>
      </c>
      <c r="AT68" s="292">
        <f>(AL68+AM68)*VLOOKUP($AD68,'Look-ups'!$A$123:$M$130,13,FALSE)</f>
        <v>3.8885841971665096</v>
      </c>
      <c r="AU68" s="292">
        <f t="shared" si="1"/>
        <v>4.0534881809325043</v>
      </c>
    </row>
    <row r="69" spans="1:47" x14ac:dyDescent="0.25">
      <c r="A69">
        <v>3006</v>
      </c>
      <c r="B69" t="s">
        <v>1011</v>
      </c>
      <c r="C69">
        <v>246.08250000000001</v>
      </c>
      <c r="D69">
        <v>45185</v>
      </c>
      <c r="E69">
        <v>183.61728282181787</v>
      </c>
      <c r="F69" t="s">
        <v>172</v>
      </c>
      <c r="G69" t="s">
        <v>165</v>
      </c>
      <c r="H69">
        <f>VLOOKUP(CONCATENATE($G69,"-",$F69,"-",$H$2),'Look-ups'!$O$3:$S$34,5,FALSE)*VLOOKUP(CONCATENATE($F69,"-",$H$2,"-",H$3),'Look-ups'!$I$3:$M$24,5,FALSE)</f>
        <v>201.33333333333331</v>
      </c>
      <c r="I69">
        <f>VLOOKUP(CONCATENATE($G69,"-",$F69,"-",$H$2),'Look-ups'!$O$3:$S$34,5,FALSE)*VLOOKUP(CONCATENATE($F69,"-",$H$2,"-",I$3),'Look-ups'!$I$3:$M$24,5,FALSE)</f>
        <v>302</v>
      </c>
      <c r="J69">
        <f>VLOOKUP(CONCATENATE($G69,"-",$F69,"-",$H$2),'Look-ups'!$O$3:$S$34,5,FALSE)*VLOOKUP(CONCATENATE($F69,"-",$H$2,"-",J$3),'Look-ups'!$I$3:$M$24,5,FALSE)</f>
        <v>352.33333333333337</v>
      </c>
      <c r="K69">
        <f>VLOOKUP(CONCATENATE($G69,"-",$F69,"-",$H$2),'Look-ups'!$O$3:$S$34,5,FALSE)*VLOOKUP(CONCATENATE($F69,"-",$H$2,"-",K$3),'Look-ups'!$I$3:$M$24,5,FALSE)</f>
        <v>453</v>
      </c>
      <c r="L69">
        <f>VLOOKUP(CONCATENATE($G69,"-",$F69,"-",$H$2),'Look-ups'!$O$3:$S$34,5,FALSE)*VLOOKUP(CONCATENATE($F69,"-",$H$2,"-",L$3),'Look-ups'!$I$3:$M$24,5,FALSE)</f>
        <v>503.33333333333337</v>
      </c>
      <c r="M69">
        <f>VLOOKUP(CONCATENATE($G69,"-",$F69,"-",$H$2),'Look-ups'!$O$3:$S$34,5,FALSE)*VLOOKUP(CONCATENATE($F69,"-",$H$2,"-",M$3),'Look-ups'!$I$3:$M$24,5,FALSE)</f>
        <v>553.66666666666663</v>
      </c>
      <c r="N69">
        <f>VLOOKUP(CONCATENATE($G69,"-",$F69,"-",$N$2),'Look-ups'!$O$3:$S$34,5,FALSE)*VLOOKUP(CONCATENATE($F69,"-",$N$2,"-",N$3),'Look-ups'!$I$3:$M$24,5,FALSE)</f>
        <v>218.25</v>
      </c>
      <c r="O69">
        <f>VLOOKUP(CONCATENATE($G69,"-",$F69,"-",$N$2),'Look-ups'!$O$3:$S$34,5,FALSE)*VLOOKUP(CONCATENATE($F69,"-",$N$2,"-",O$3),'Look-ups'!$I$3:$M$24,5,FALSE)</f>
        <v>218.25</v>
      </c>
      <c r="P69">
        <f>VLOOKUP(CONCATENATE($G69,"-",$F69,"-",$N$2),'Look-ups'!$O$3:$S$34,5,FALSE)*VLOOKUP(CONCATENATE($F69,"-",$N$2,"-",P$3),'Look-ups'!$I$3:$M$24,5,FALSE)</f>
        <v>291</v>
      </c>
      <c r="Q69">
        <f>VLOOKUP(CONCATENATE($G69,"-",$F69,"-",$N$2),'Look-ups'!$O$3:$S$34,5,FALSE)*VLOOKUP(CONCATENATE($F69,"-",$N$2,"-",Q$3),'Look-ups'!$I$3:$M$24,5,FALSE)</f>
        <v>374.14285714285717</v>
      </c>
      <c r="R69">
        <f>VLOOKUP(CONCATENATE($G69,"-",$F69,"-",$N$2),'Look-ups'!$O$3:$S$34,5,FALSE)*VLOOKUP(CONCATENATE($F69,"-",$N$2,"-",R$3),'Look-ups'!$I$3:$M$24,5,FALSE)</f>
        <v>426.10714285714283</v>
      </c>
      <c r="S69" s="117">
        <f>VLOOKUP(CONCATENATE($G69,"-",$F69,"-Lone Person"),'Look-ups'!$Y$4:$AG$35,5,FALSE)</f>
        <v>97.37</v>
      </c>
      <c r="T69">
        <f>VLOOKUP(CONCATENATE($G69,"-",$F69,"-Lone Person"),'Look-ups'!$Y$4:$AG$35,6,FALSE)</f>
        <v>138.03</v>
      </c>
      <c r="U69">
        <f>VLOOKUP(CONCATENATE($G69,"-",$F69,"-Lone Person"),'Look-ups'!$Y$4:$AG$35,7,FALSE)</f>
        <v>165.85000000000002</v>
      </c>
      <c r="V69">
        <f>VLOOKUP(CONCATENATE($G69,"-",$F69,"-Lone Person"),'Look-ups'!$Y$4:$AG$35,8,FALSE)</f>
        <v>203.3</v>
      </c>
      <c r="W69">
        <f>VLOOKUP(CONCATENATE($G69,"-",$F69,"-Lone Person"),'Look-ups'!$Y$4:$AG$35,9,FALSE)</f>
        <v>192.60000000000002</v>
      </c>
      <c r="X69" s="117">
        <f>VLOOKUP(CONCATENATE($G69,"-",$F69,"-Couple Only"),'Look-ups'!$Y$4:$AG$35,5,FALSE)</f>
        <v>156.22</v>
      </c>
      <c r="Y69">
        <f>VLOOKUP(CONCATENATE($G69,"-",$F69,"-Couple Only"),'Look-ups'!$Y$4:$AG$35,6,FALSE)</f>
        <v>148.73000000000002</v>
      </c>
      <c r="Z69">
        <f>VLOOKUP(CONCATENATE($G69,"-",$F69,"-Couple Only"),'Look-ups'!$Y$4:$AG$35,7,FALSE)</f>
        <v>167.99</v>
      </c>
      <c r="AA69">
        <f>VLOOKUP(CONCATENATE($G69,"-",$F69,"-Couple Only"),'Look-ups'!$Y$4:$AG$35,8,FALSE)</f>
        <v>185.11</v>
      </c>
      <c r="AB69">
        <f>VLOOKUP(CONCATENATE($G69,"-",$F69,"-Couple Only"),'Look-ups'!$Y$4:$AG$35,9,FALSE)</f>
        <v>232.19000000000003</v>
      </c>
      <c r="AC69">
        <v>36</v>
      </c>
      <c r="AD69" t="s">
        <v>165</v>
      </c>
      <c r="AE69" s="287">
        <f>VLOOKUP($AD69,'Look-ups'!$A$122:$G$130,5,FALSE)</f>
        <v>6.0509554140127389E-2</v>
      </c>
      <c r="AF69" s="287">
        <f>VLOOKUP($AD69,'Look-ups'!$A$122:$G$130,6,FALSE)</f>
        <v>0.14171974522292993</v>
      </c>
      <c r="AG69" s="287">
        <f>VLOOKUP($AD69,'Look-ups'!$A$122:$G$130,7,FALSE)</f>
        <v>0.79777070063694266</v>
      </c>
      <c r="AH69" s="291">
        <f>VLOOKUP($AC69,'Look-ups'!$A$50:$AO$118,'Look-ups'!$B$133*4,FALSE)*0.277778</f>
        <v>0.51660811486851754</v>
      </c>
      <c r="AI69" s="291">
        <f>VLOOKUP($AC69,'Look-ups'!$A$50:$AO$118,'Look-ups'!$B$133*4+1,FALSE)*0.277778</f>
        <v>38.927867885131484</v>
      </c>
      <c r="AJ69" s="291">
        <f>AE69*$AH69/'Look-ups'!$B$141</f>
        <v>4.0862387837732966E-2</v>
      </c>
      <c r="AK69" s="291">
        <f>AF69*$AH69/'Look-ups'!$B$140</f>
        <v>0.10029256221817044</v>
      </c>
      <c r="AL69" s="291">
        <f>AG69*$AH69/'Look-ups'!$B$137</f>
        <v>7.8501870048264269E-2</v>
      </c>
      <c r="AM69" s="291">
        <f>AI69/'Look-ups'!$B$136</f>
        <v>8.1953406073961013</v>
      </c>
      <c r="AN69" s="290">
        <f>AJ69*VLOOKUP($AD69,'Look-ups'!$A$123:$M$130,10,FALSE)</f>
        <v>1.1089598032629195E-2</v>
      </c>
      <c r="AO69" s="290">
        <f>AK69*VLOOKUP($AD69,'Look-ups'!$A$123:$M$130,9,FALSE)</f>
        <v>2.173420057317528E-2</v>
      </c>
      <c r="AP69" s="290">
        <f>(AL69+AM69)*VLOOKUP($AD69,'Look-ups'!$A$123:$M$130,8,FALSE)</f>
        <v>2.6476295927821969</v>
      </c>
      <c r="AQ69" s="290">
        <f t="shared" ref="AQ69:AQ113" si="2">SUM(AN69:AP69)</f>
        <v>2.6804533913880015</v>
      </c>
      <c r="AR69" s="292">
        <f>AJ69*VLOOKUP($AD69,'Look-ups'!$A$123:$M$130,11,FALSE)</f>
        <v>1.7653045831183913E-4</v>
      </c>
      <c r="AS69" s="292">
        <f>AK69*VLOOKUP($AD69,'Look-ups'!$A$123:$M$130,12,FALSE)</f>
        <v>1.8605593588588844E-2</v>
      </c>
      <c r="AT69" s="292">
        <f>(AL69+AM69)*VLOOKUP($AD69,'Look-ups'!$A$123:$M$130,13,FALSE)</f>
        <v>2.1123119844915466</v>
      </c>
      <c r="AU69" s="292">
        <f t="shared" ref="AU69:AU113" si="3">SUM(AR69:AT69)</f>
        <v>2.1310941085384472</v>
      </c>
    </row>
    <row r="70" spans="1:47" x14ac:dyDescent="0.25">
      <c r="A70">
        <v>3007</v>
      </c>
      <c r="B70" t="s">
        <v>359</v>
      </c>
      <c r="C70">
        <v>1251.2747999999899</v>
      </c>
      <c r="D70">
        <v>693596</v>
      </c>
      <c r="E70">
        <v>554.3114909690546</v>
      </c>
      <c r="F70" t="s">
        <v>172</v>
      </c>
      <c r="G70" t="s">
        <v>165</v>
      </c>
      <c r="H70">
        <f>VLOOKUP(CONCATENATE($G70,"-",$F70,"-",$H$2),'Look-ups'!$O$3:$S$34,5,FALSE)*VLOOKUP(CONCATENATE($F70,"-",$H$2,"-",H$3),'Look-ups'!$I$3:$M$24,5,FALSE)</f>
        <v>201.33333333333331</v>
      </c>
      <c r="I70">
        <f>VLOOKUP(CONCATENATE($G70,"-",$F70,"-",$H$2),'Look-ups'!$O$3:$S$34,5,FALSE)*VLOOKUP(CONCATENATE($F70,"-",$H$2,"-",I$3),'Look-ups'!$I$3:$M$24,5,FALSE)</f>
        <v>302</v>
      </c>
      <c r="J70">
        <f>VLOOKUP(CONCATENATE($G70,"-",$F70,"-",$H$2),'Look-ups'!$O$3:$S$34,5,FALSE)*VLOOKUP(CONCATENATE($F70,"-",$H$2,"-",J$3),'Look-ups'!$I$3:$M$24,5,FALSE)</f>
        <v>352.33333333333337</v>
      </c>
      <c r="K70">
        <f>VLOOKUP(CONCATENATE($G70,"-",$F70,"-",$H$2),'Look-ups'!$O$3:$S$34,5,FALSE)*VLOOKUP(CONCATENATE($F70,"-",$H$2,"-",K$3),'Look-ups'!$I$3:$M$24,5,FALSE)</f>
        <v>453</v>
      </c>
      <c r="L70">
        <f>VLOOKUP(CONCATENATE($G70,"-",$F70,"-",$H$2),'Look-ups'!$O$3:$S$34,5,FALSE)*VLOOKUP(CONCATENATE($F70,"-",$H$2,"-",L$3),'Look-ups'!$I$3:$M$24,5,FALSE)</f>
        <v>503.33333333333337</v>
      </c>
      <c r="M70">
        <f>VLOOKUP(CONCATENATE($G70,"-",$F70,"-",$H$2),'Look-ups'!$O$3:$S$34,5,FALSE)*VLOOKUP(CONCATENATE($F70,"-",$H$2,"-",M$3),'Look-ups'!$I$3:$M$24,5,FALSE)</f>
        <v>553.66666666666663</v>
      </c>
      <c r="N70">
        <f>VLOOKUP(CONCATENATE($G70,"-",$F70,"-",$N$2),'Look-ups'!$O$3:$S$34,5,FALSE)*VLOOKUP(CONCATENATE($F70,"-",$N$2,"-",N$3),'Look-ups'!$I$3:$M$24,5,FALSE)</f>
        <v>218.25</v>
      </c>
      <c r="O70">
        <f>VLOOKUP(CONCATENATE($G70,"-",$F70,"-",$N$2),'Look-ups'!$O$3:$S$34,5,FALSE)*VLOOKUP(CONCATENATE($F70,"-",$N$2,"-",O$3),'Look-ups'!$I$3:$M$24,5,FALSE)</f>
        <v>218.25</v>
      </c>
      <c r="P70">
        <f>VLOOKUP(CONCATENATE($G70,"-",$F70,"-",$N$2),'Look-ups'!$O$3:$S$34,5,FALSE)*VLOOKUP(CONCATENATE($F70,"-",$N$2,"-",P$3),'Look-ups'!$I$3:$M$24,5,FALSE)</f>
        <v>291</v>
      </c>
      <c r="Q70">
        <f>VLOOKUP(CONCATENATE($G70,"-",$F70,"-",$N$2),'Look-ups'!$O$3:$S$34,5,FALSE)*VLOOKUP(CONCATENATE($F70,"-",$N$2,"-",Q$3),'Look-ups'!$I$3:$M$24,5,FALSE)</f>
        <v>374.14285714285717</v>
      </c>
      <c r="R70">
        <f>VLOOKUP(CONCATENATE($G70,"-",$F70,"-",$N$2),'Look-ups'!$O$3:$S$34,5,FALSE)*VLOOKUP(CONCATENATE($F70,"-",$N$2,"-",R$3),'Look-ups'!$I$3:$M$24,5,FALSE)</f>
        <v>426.10714285714283</v>
      </c>
      <c r="S70" s="117">
        <f>VLOOKUP(CONCATENATE($G70,"-",$F70,"-Lone Person"),'Look-ups'!$Y$4:$AG$35,5,FALSE)</f>
        <v>97.37</v>
      </c>
      <c r="T70">
        <f>VLOOKUP(CONCATENATE($G70,"-",$F70,"-Lone Person"),'Look-ups'!$Y$4:$AG$35,6,FALSE)</f>
        <v>138.03</v>
      </c>
      <c r="U70">
        <f>VLOOKUP(CONCATENATE($G70,"-",$F70,"-Lone Person"),'Look-ups'!$Y$4:$AG$35,7,FALSE)</f>
        <v>165.85000000000002</v>
      </c>
      <c r="V70">
        <f>VLOOKUP(CONCATENATE($G70,"-",$F70,"-Lone Person"),'Look-ups'!$Y$4:$AG$35,8,FALSE)</f>
        <v>203.3</v>
      </c>
      <c r="W70">
        <f>VLOOKUP(CONCATENATE($G70,"-",$F70,"-Lone Person"),'Look-ups'!$Y$4:$AG$35,9,FALSE)</f>
        <v>192.60000000000002</v>
      </c>
      <c r="X70" s="117">
        <f>VLOOKUP(CONCATENATE($G70,"-",$F70,"-Couple Only"),'Look-ups'!$Y$4:$AG$35,5,FALSE)</f>
        <v>156.22</v>
      </c>
      <c r="Y70">
        <f>VLOOKUP(CONCATENATE($G70,"-",$F70,"-Couple Only"),'Look-ups'!$Y$4:$AG$35,6,FALSE)</f>
        <v>148.73000000000002</v>
      </c>
      <c r="Z70">
        <f>VLOOKUP(CONCATENATE($G70,"-",$F70,"-Couple Only"),'Look-ups'!$Y$4:$AG$35,7,FALSE)</f>
        <v>167.99</v>
      </c>
      <c r="AA70">
        <f>VLOOKUP(CONCATENATE($G70,"-",$F70,"-Couple Only"),'Look-ups'!$Y$4:$AG$35,8,FALSE)</f>
        <v>185.11</v>
      </c>
      <c r="AB70">
        <f>VLOOKUP(CONCATENATE($G70,"-",$F70,"-Couple Only"),'Look-ups'!$Y$4:$AG$35,9,FALSE)</f>
        <v>232.19000000000003</v>
      </c>
      <c r="AC70">
        <v>10</v>
      </c>
      <c r="AD70" t="s">
        <v>165</v>
      </c>
      <c r="AE70" s="287">
        <f>VLOOKUP($AD70,'Look-ups'!$A$122:$G$130,5,FALSE)</f>
        <v>6.0509554140127389E-2</v>
      </c>
      <c r="AF70" s="287">
        <f>VLOOKUP($AD70,'Look-ups'!$A$122:$G$130,6,FALSE)</f>
        <v>0.14171974522292993</v>
      </c>
      <c r="AG70" s="287">
        <f>VLOOKUP($AD70,'Look-ups'!$A$122:$G$130,7,FALSE)</f>
        <v>0.79777070063694266</v>
      </c>
      <c r="AH70" s="291">
        <f>VLOOKUP($AC70,'Look-ups'!$A$50:$AO$118,'Look-ups'!$B$133*4,FALSE)*0.277778</f>
        <v>5.039376206978595</v>
      </c>
      <c r="AI70" s="291">
        <f>VLOOKUP($AC70,'Look-ups'!$A$50:$AO$118,'Look-ups'!$B$133*4+1,FALSE)*0.277778</f>
        <v>28.571761793021409</v>
      </c>
      <c r="AJ70" s="291">
        <f>AE70*$AH70/'Look-ups'!$B$141</f>
        <v>0.39860183977600144</v>
      </c>
      <c r="AK70" s="291">
        <f>AF70*$AH70/'Look-ups'!$B$140</f>
        <v>0.9783275508705499</v>
      </c>
      <c r="AL70" s="291">
        <f>AG70*$AH70/'Look-ups'!$B$137</f>
        <v>0.76576508331703841</v>
      </c>
      <c r="AM70" s="291">
        <f>AI70/'Look-ups'!$B$136</f>
        <v>6.0151077458992441</v>
      </c>
      <c r="AN70" s="290">
        <f>AJ70*VLOOKUP($AD70,'Look-ups'!$A$123:$M$130,10,FALSE)</f>
        <v>0.10817611040587594</v>
      </c>
      <c r="AO70" s="290">
        <f>AK70*VLOOKUP($AD70,'Look-ups'!$A$123:$M$130,9,FALSE)</f>
        <v>0.21201140689405515</v>
      </c>
      <c r="AP70" s="290">
        <f>(AL70+AM70)*VLOOKUP($AD70,'Look-ups'!$A$123:$M$130,8,FALSE)</f>
        <v>2.1698793053492107</v>
      </c>
      <c r="AQ70" s="290">
        <f t="shared" si="2"/>
        <v>2.4900668226491418</v>
      </c>
      <c r="AR70" s="292">
        <f>AJ70*VLOOKUP($AD70,'Look-ups'!$A$123:$M$130,11,FALSE)</f>
        <v>1.7220081640609199E-3</v>
      </c>
      <c r="AS70" s="292">
        <f>AK70*VLOOKUP($AD70,'Look-ups'!$A$123:$M$130,12,FALSE)</f>
        <v>0.18149266910162884</v>
      </c>
      <c r="AT70" s="292">
        <f>(AL70+AM70)*VLOOKUP($AD70,'Look-ups'!$A$123:$M$130,13,FALSE)</f>
        <v>1.7311568332989171</v>
      </c>
      <c r="AU70" s="292">
        <f t="shared" si="3"/>
        <v>1.9143715105646069</v>
      </c>
    </row>
    <row r="71" spans="1:47" x14ac:dyDescent="0.25">
      <c r="A71">
        <v>3008</v>
      </c>
      <c r="B71" t="s">
        <v>360</v>
      </c>
      <c r="C71">
        <v>69.461500000000001</v>
      </c>
      <c r="D71">
        <v>22424</v>
      </c>
      <c r="E71">
        <v>322.82631385731662</v>
      </c>
      <c r="F71" t="s">
        <v>172</v>
      </c>
      <c r="G71" t="s">
        <v>165</v>
      </c>
      <c r="H71">
        <f>VLOOKUP(CONCATENATE($G71,"-",$F71,"-",$H$2),'Look-ups'!$O$3:$S$34,5,FALSE)*VLOOKUP(CONCATENATE($F71,"-",$H$2,"-",H$3),'Look-ups'!$I$3:$M$24,5,FALSE)</f>
        <v>201.33333333333331</v>
      </c>
      <c r="I71">
        <f>VLOOKUP(CONCATENATE($G71,"-",$F71,"-",$H$2),'Look-ups'!$O$3:$S$34,5,FALSE)*VLOOKUP(CONCATENATE($F71,"-",$H$2,"-",I$3),'Look-ups'!$I$3:$M$24,5,FALSE)</f>
        <v>302</v>
      </c>
      <c r="J71">
        <f>VLOOKUP(CONCATENATE($G71,"-",$F71,"-",$H$2),'Look-ups'!$O$3:$S$34,5,FALSE)*VLOOKUP(CONCATENATE($F71,"-",$H$2,"-",J$3),'Look-ups'!$I$3:$M$24,5,FALSE)</f>
        <v>352.33333333333337</v>
      </c>
      <c r="K71">
        <f>VLOOKUP(CONCATENATE($G71,"-",$F71,"-",$H$2),'Look-ups'!$O$3:$S$34,5,FALSE)*VLOOKUP(CONCATENATE($F71,"-",$H$2,"-",K$3),'Look-ups'!$I$3:$M$24,5,FALSE)</f>
        <v>453</v>
      </c>
      <c r="L71">
        <f>VLOOKUP(CONCATENATE($G71,"-",$F71,"-",$H$2),'Look-ups'!$O$3:$S$34,5,FALSE)*VLOOKUP(CONCATENATE($F71,"-",$H$2,"-",L$3),'Look-ups'!$I$3:$M$24,5,FALSE)</f>
        <v>503.33333333333337</v>
      </c>
      <c r="M71">
        <f>VLOOKUP(CONCATENATE($G71,"-",$F71,"-",$H$2),'Look-ups'!$O$3:$S$34,5,FALSE)*VLOOKUP(CONCATENATE($F71,"-",$H$2,"-",M$3),'Look-ups'!$I$3:$M$24,5,FALSE)</f>
        <v>553.66666666666663</v>
      </c>
      <c r="N71">
        <f>VLOOKUP(CONCATENATE($G71,"-",$F71,"-",$N$2),'Look-ups'!$O$3:$S$34,5,FALSE)*VLOOKUP(CONCATENATE($F71,"-",$N$2,"-",N$3),'Look-ups'!$I$3:$M$24,5,FALSE)</f>
        <v>218.25</v>
      </c>
      <c r="O71">
        <f>VLOOKUP(CONCATENATE($G71,"-",$F71,"-",$N$2),'Look-ups'!$O$3:$S$34,5,FALSE)*VLOOKUP(CONCATENATE($F71,"-",$N$2,"-",O$3),'Look-ups'!$I$3:$M$24,5,FALSE)</f>
        <v>218.25</v>
      </c>
      <c r="P71">
        <f>VLOOKUP(CONCATENATE($G71,"-",$F71,"-",$N$2),'Look-ups'!$O$3:$S$34,5,FALSE)*VLOOKUP(CONCATENATE($F71,"-",$N$2,"-",P$3),'Look-ups'!$I$3:$M$24,5,FALSE)</f>
        <v>291</v>
      </c>
      <c r="Q71">
        <f>VLOOKUP(CONCATENATE($G71,"-",$F71,"-",$N$2),'Look-ups'!$O$3:$S$34,5,FALSE)*VLOOKUP(CONCATENATE($F71,"-",$N$2,"-",Q$3),'Look-ups'!$I$3:$M$24,5,FALSE)</f>
        <v>374.14285714285717</v>
      </c>
      <c r="R71">
        <f>VLOOKUP(CONCATENATE($G71,"-",$F71,"-",$N$2),'Look-ups'!$O$3:$S$34,5,FALSE)*VLOOKUP(CONCATENATE($F71,"-",$N$2,"-",R$3),'Look-ups'!$I$3:$M$24,5,FALSE)</f>
        <v>426.10714285714283</v>
      </c>
      <c r="S71" s="117">
        <f>VLOOKUP(CONCATENATE($G71,"-",$F71,"-Lone Person"),'Look-ups'!$Y$4:$AG$35,5,FALSE)</f>
        <v>97.37</v>
      </c>
      <c r="T71">
        <f>VLOOKUP(CONCATENATE($G71,"-",$F71,"-Lone Person"),'Look-ups'!$Y$4:$AG$35,6,FALSE)</f>
        <v>138.03</v>
      </c>
      <c r="U71">
        <f>VLOOKUP(CONCATENATE($G71,"-",$F71,"-Lone Person"),'Look-ups'!$Y$4:$AG$35,7,FALSE)</f>
        <v>165.85000000000002</v>
      </c>
      <c r="V71">
        <f>VLOOKUP(CONCATENATE($G71,"-",$F71,"-Lone Person"),'Look-ups'!$Y$4:$AG$35,8,FALSE)</f>
        <v>203.3</v>
      </c>
      <c r="W71">
        <f>VLOOKUP(CONCATENATE($G71,"-",$F71,"-Lone Person"),'Look-ups'!$Y$4:$AG$35,9,FALSE)</f>
        <v>192.60000000000002</v>
      </c>
      <c r="X71" s="117">
        <f>VLOOKUP(CONCATENATE($G71,"-",$F71,"-Couple Only"),'Look-ups'!$Y$4:$AG$35,5,FALSE)</f>
        <v>156.22</v>
      </c>
      <c r="Y71">
        <f>VLOOKUP(CONCATENATE($G71,"-",$F71,"-Couple Only"),'Look-ups'!$Y$4:$AG$35,6,FALSE)</f>
        <v>148.73000000000002</v>
      </c>
      <c r="Z71">
        <f>VLOOKUP(CONCATENATE($G71,"-",$F71,"-Couple Only"),'Look-ups'!$Y$4:$AG$35,7,FALSE)</f>
        <v>167.99</v>
      </c>
      <c r="AA71">
        <f>VLOOKUP(CONCATENATE($G71,"-",$F71,"-Couple Only"),'Look-ups'!$Y$4:$AG$35,8,FALSE)</f>
        <v>185.11</v>
      </c>
      <c r="AB71">
        <f>VLOOKUP(CONCATENATE($G71,"-",$F71,"-Couple Only"),'Look-ups'!$Y$4:$AG$35,9,FALSE)</f>
        <v>232.19000000000003</v>
      </c>
      <c r="AC71">
        <v>9</v>
      </c>
      <c r="AD71" t="s">
        <v>165</v>
      </c>
      <c r="AE71" s="287">
        <f>VLOOKUP($AD71,'Look-ups'!$A$122:$G$130,5,FALSE)</f>
        <v>6.0509554140127389E-2</v>
      </c>
      <c r="AF71" s="287">
        <f>VLOOKUP($AD71,'Look-ups'!$A$122:$G$130,6,FALSE)</f>
        <v>0.14171974522292993</v>
      </c>
      <c r="AG71" s="287">
        <f>VLOOKUP($AD71,'Look-ups'!$A$122:$G$130,7,FALSE)</f>
        <v>0.79777070063694266</v>
      </c>
      <c r="AH71" s="291">
        <f>VLOOKUP($AC71,'Look-ups'!$A$50:$AO$118,'Look-ups'!$B$133*4,FALSE)*0.277778</f>
        <v>14.028700976231834</v>
      </c>
      <c r="AI71" s="291">
        <f>VLOOKUP($AC71,'Look-ups'!$A$50:$AO$118,'Look-ups'!$B$133*4+1,FALSE)*0.277778</f>
        <v>33.471337023768172</v>
      </c>
      <c r="AJ71" s="291">
        <f>AE71*$AH71/'Look-ups'!$B$141</f>
        <v>1.1096345637084422</v>
      </c>
      <c r="AK71" s="291">
        <f>AF71*$AH71/'Look-ups'!$B$140</f>
        <v>2.7234848330962249</v>
      </c>
      <c r="AL71" s="291">
        <f>AG71*$AH71/'Look-ups'!$B$137</f>
        <v>2.1317498298732631</v>
      </c>
      <c r="AM71" s="291">
        <f>AI71/'Look-ups'!$B$136</f>
        <v>7.0465972681617206</v>
      </c>
      <c r="AN71" s="290">
        <f>AJ71*VLOOKUP($AD71,'Look-ups'!$A$123:$M$130,10,FALSE)</f>
        <v>0.30114249131754106</v>
      </c>
      <c r="AO71" s="290">
        <f>AK71*VLOOKUP($AD71,'Look-ups'!$A$123:$M$130,9,FALSE)</f>
        <v>0.59020095121061678</v>
      </c>
      <c r="AP71" s="290">
        <f>(AL71+AM71)*VLOOKUP($AD71,'Look-ups'!$A$123:$M$130,8,FALSE)</f>
        <v>2.9370710713711947</v>
      </c>
      <c r="AQ71" s="290">
        <f t="shared" si="2"/>
        <v>3.8284145138993528</v>
      </c>
      <c r="AR71" s="292">
        <f>AJ71*VLOOKUP($AD71,'Look-ups'!$A$123:$M$130,11,FALSE)</f>
        <v>4.7937555403756004E-3</v>
      </c>
      <c r="AS71" s="292">
        <f>AK71*VLOOKUP($AD71,'Look-ups'!$A$123:$M$130,12,FALSE)</f>
        <v>0.50524237120440829</v>
      </c>
      <c r="AT71" s="292">
        <f>(AL71+AM71)*VLOOKUP($AD71,'Look-ups'!$A$123:$M$130,13,FALSE)</f>
        <v>2.3432320141283314</v>
      </c>
      <c r="AU71" s="292">
        <f t="shared" si="3"/>
        <v>2.8532681408731153</v>
      </c>
    </row>
    <row r="72" spans="1:47" x14ac:dyDescent="0.25">
      <c r="A72">
        <v>3009</v>
      </c>
      <c r="B72" t="s">
        <v>361</v>
      </c>
      <c r="C72">
        <v>93.215599999999895</v>
      </c>
      <c r="D72">
        <v>57722</v>
      </c>
      <c r="E72">
        <v>619.23111582181593</v>
      </c>
      <c r="F72" t="s">
        <v>172</v>
      </c>
      <c r="G72" t="s">
        <v>165</v>
      </c>
      <c r="H72">
        <f>VLOOKUP(CONCATENATE($G72,"-",$F72,"-",$H$2),'Look-ups'!$O$3:$S$34,5,FALSE)*VLOOKUP(CONCATENATE($F72,"-",$H$2,"-",H$3),'Look-ups'!$I$3:$M$24,5,FALSE)</f>
        <v>201.33333333333331</v>
      </c>
      <c r="I72">
        <f>VLOOKUP(CONCATENATE($G72,"-",$F72,"-",$H$2),'Look-ups'!$O$3:$S$34,5,FALSE)*VLOOKUP(CONCATENATE($F72,"-",$H$2,"-",I$3),'Look-ups'!$I$3:$M$24,5,FALSE)</f>
        <v>302</v>
      </c>
      <c r="J72">
        <f>VLOOKUP(CONCATENATE($G72,"-",$F72,"-",$H$2),'Look-ups'!$O$3:$S$34,5,FALSE)*VLOOKUP(CONCATENATE($F72,"-",$H$2,"-",J$3),'Look-ups'!$I$3:$M$24,5,FALSE)</f>
        <v>352.33333333333337</v>
      </c>
      <c r="K72">
        <f>VLOOKUP(CONCATENATE($G72,"-",$F72,"-",$H$2),'Look-ups'!$O$3:$S$34,5,FALSE)*VLOOKUP(CONCATENATE($F72,"-",$H$2,"-",K$3),'Look-ups'!$I$3:$M$24,5,FALSE)</f>
        <v>453</v>
      </c>
      <c r="L72">
        <f>VLOOKUP(CONCATENATE($G72,"-",$F72,"-",$H$2),'Look-ups'!$O$3:$S$34,5,FALSE)*VLOOKUP(CONCATENATE($F72,"-",$H$2,"-",L$3),'Look-ups'!$I$3:$M$24,5,FALSE)</f>
        <v>503.33333333333337</v>
      </c>
      <c r="M72">
        <f>VLOOKUP(CONCATENATE($G72,"-",$F72,"-",$H$2),'Look-ups'!$O$3:$S$34,5,FALSE)*VLOOKUP(CONCATENATE($F72,"-",$H$2,"-",M$3),'Look-ups'!$I$3:$M$24,5,FALSE)</f>
        <v>553.66666666666663</v>
      </c>
      <c r="N72">
        <f>VLOOKUP(CONCATENATE($G72,"-",$F72,"-",$N$2),'Look-ups'!$O$3:$S$34,5,FALSE)*VLOOKUP(CONCATENATE($F72,"-",$N$2,"-",N$3),'Look-ups'!$I$3:$M$24,5,FALSE)</f>
        <v>218.25</v>
      </c>
      <c r="O72">
        <f>VLOOKUP(CONCATENATE($G72,"-",$F72,"-",$N$2),'Look-ups'!$O$3:$S$34,5,FALSE)*VLOOKUP(CONCATENATE($F72,"-",$N$2,"-",O$3),'Look-ups'!$I$3:$M$24,5,FALSE)</f>
        <v>218.25</v>
      </c>
      <c r="P72">
        <f>VLOOKUP(CONCATENATE($G72,"-",$F72,"-",$N$2),'Look-ups'!$O$3:$S$34,5,FALSE)*VLOOKUP(CONCATENATE($F72,"-",$N$2,"-",P$3),'Look-ups'!$I$3:$M$24,5,FALSE)</f>
        <v>291</v>
      </c>
      <c r="Q72">
        <f>VLOOKUP(CONCATENATE($G72,"-",$F72,"-",$N$2),'Look-ups'!$O$3:$S$34,5,FALSE)*VLOOKUP(CONCATENATE($F72,"-",$N$2,"-",Q$3),'Look-ups'!$I$3:$M$24,5,FALSE)</f>
        <v>374.14285714285717</v>
      </c>
      <c r="R72">
        <f>VLOOKUP(CONCATENATE($G72,"-",$F72,"-",$N$2),'Look-ups'!$O$3:$S$34,5,FALSE)*VLOOKUP(CONCATENATE($F72,"-",$N$2,"-",R$3),'Look-ups'!$I$3:$M$24,5,FALSE)</f>
        <v>426.10714285714283</v>
      </c>
      <c r="S72" s="117">
        <f>VLOOKUP(CONCATENATE($G72,"-",$F72,"-Lone Person"),'Look-ups'!$Y$4:$AG$35,5,FALSE)</f>
        <v>97.37</v>
      </c>
      <c r="T72">
        <f>VLOOKUP(CONCATENATE($G72,"-",$F72,"-Lone Person"),'Look-ups'!$Y$4:$AG$35,6,FALSE)</f>
        <v>138.03</v>
      </c>
      <c r="U72">
        <f>VLOOKUP(CONCATENATE($G72,"-",$F72,"-Lone Person"),'Look-ups'!$Y$4:$AG$35,7,FALSE)</f>
        <v>165.85000000000002</v>
      </c>
      <c r="V72">
        <f>VLOOKUP(CONCATENATE($G72,"-",$F72,"-Lone Person"),'Look-ups'!$Y$4:$AG$35,8,FALSE)</f>
        <v>203.3</v>
      </c>
      <c r="W72">
        <f>VLOOKUP(CONCATENATE($G72,"-",$F72,"-Lone Person"),'Look-ups'!$Y$4:$AG$35,9,FALSE)</f>
        <v>192.60000000000002</v>
      </c>
      <c r="X72" s="117">
        <f>VLOOKUP(CONCATENATE($G72,"-",$F72,"-Couple Only"),'Look-ups'!$Y$4:$AG$35,5,FALSE)</f>
        <v>156.22</v>
      </c>
      <c r="Y72">
        <f>VLOOKUP(CONCATENATE($G72,"-",$F72,"-Couple Only"),'Look-ups'!$Y$4:$AG$35,6,FALSE)</f>
        <v>148.73000000000002</v>
      </c>
      <c r="Z72">
        <f>VLOOKUP(CONCATENATE($G72,"-",$F72,"-Couple Only"),'Look-ups'!$Y$4:$AG$35,7,FALSE)</f>
        <v>167.99</v>
      </c>
      <c r="AA72">
        <f>VLOOKUP(CONCATENATE($G72,"-",$F72,"-Couple Only"),'Look-ups'!$Y$4:$AG$35,8,FALSE)</f>
        <v>185.11</v>
      </c>
      <c r="AB72">
        <f>VLOOKUP(CONCATENATE($G72,"-",$F72,"-Couple Only"),'Look-ups'!$Y$4:$AG$35,9,FALSE)</f>
        <v>232.19000000000003</v>
      </c>
      <c r="AC72">
        <v>36</v>
      </c>
      <c r="AD72" t="s">
        <v>165</v>
      </c>
      <c r="AE72" s="287">
        <f>VLOOKUP($AD72,'Look-ups'!$A$122:$G$130,5,FALSE)</f>
        <v>6.0509554140127389E-2</v>
      </c>
      <c r="AF72" s="287">
        <f>VLOOKUP($AD72,'Look-ups'!$A$122:$G$130,6,FALSE)</f>
        <v>0.14171974522292993</v>
      </c>
      <c r="AG72" s="287">
        <f>VLOOKUP($AD72,'Look-ups'!$A$122:$G$130,7,FALSE)</f>
        <v>0.79777070063694266</v>
      </c>
      <c r="AH72" s="291">
        <f>VLOOKUP($AC72,'Look-ups'!$A$50:$AO$118,'Look-ups'!$B$133*4,FALSE)*0.277778</f>
        <v>0.51660811486851754</v>
      </c>
      <c r="AI72" s="291">
        <f>VLOOKUP($AC72,'Look-ups'!$A$50:$AO$118,'Look-ups'!$B$133*4+1,FALSE)*0.277778</f>
        <v>38.927867885131484</v>
      </c>
      <c r="AJ72" s="291">
        <f>AE72*$AH72/'Look-ups'!$B$141</f>
        <v>4.0862387837732966E-2</v>
      </c>
      <c r="AK72" s="291">
        <f>AF72*$AH72/'Look-ups'!$B$140</f>
        <v>0.10029256221817044</v>
      </c>
      <c r="AL72" s="291">
        <f>AG72*$AH72/'Look-ups'!$B$137</f>
        <v>7.8501870048264269E-2</v>
      </c>
      <c r="AM72" s="291">
        <f>AI72/'Look-ups'!$B$136</f>
        <v>8.1953406073961013</v>
      </c>
      <c r="AN72" s="290">
        <f>AJ72*VLOOKUP($AD72,'Look-ups'!$A$123:$M$130,10,FALSE)</f>
        <v>1.1089598032629195E-2</v>
      </c>
      <c r="AO72" s="290">
        <f>AK72*VLOOKUP($AD72,'Look-ups'!$A$123:$M$130,9,FALSE)</f>
        <v>2.173420057317528E-2</v>
      </c>
      <c r="AP72" s="290">
        <f>(AL72+AM72)*VLOOKUP($AD72,'Look-ups'!$A$123:$M$130,8,FALSE)</f>
        <v>2.6476295927821969</v>
      </c>
      <c r="AQ72" s="290">
        <f t="shared" si="2"/>
        <v>2.6804533913880015</v>
      </c>
      <c r="AR72" s="292">
        <f>AJ72*VLOOKUP($AD72,'Look-ups'!$A$123:$M$130,11,FALSE)</f>
        <v>1.7653045831183913E-4</v>
      </c>
      <c r="AS72" s="292">
        <f>AK72*VLOOKUP($AD72,'Look-ups'!$A$123:$M$130,12,FALSE)</f>
        <v>1.8605593588588844E-2</v>
      </c>
      <c r="AT72" s="292">
        <f>(AL72+AM72)*VLOOKUP($AD72,'Look-ups'!$A$123:$M$130,13,FALSE)</f>
        <v>2.1123119844915466</v>
      </c>
      <c r="AU72" s="292">
        <f t="shared" si="3"/>
        <v>2.1310941085384472</v>
      </c>
    </row>
    <row r="73" spans="1:47" x14ac:dyDescent="0.25">
      <c r="A73">
        <v>3010</v>
      </c>
      <c r="B73" t="s">
        <v>362</v>
      </c>
      <c r="C73">
        <v>70.194800000000001</v>
      </c>
      <c r="D73">
        <v>10545</v>
      </c>
      <c r="E73">
        <v>150.22480297685868</v>
      </c>
      <c r="F73" t="s">
        <v>172</v>
      </c>
      <c r="G73" t="s">
        <v>165</v>
      </c>
      <c r="H73">
        <f>VLOOKUP(CONCATENATE($G73,"-",$F73,"-",$H$2),'Look-ups'!$O$3:$S$34,5,FALSE)*VLOOKUP(CONCATENATE($F73,"-",$H$2,"-",H$3),'Look-ups'!$I$3:$M$24,5,FALSE)</f>
        <v>201.33333333333331</v>
      </c>
      <c r="I73">
        <f>VLOOKUP(CONCATENATE($G73,"-",$F73,"-",$H$2),'Look-ups'!$O$3:$S$34,5,FALSE)*VLOOKUP(CONCATENATE($F73,"-",$H$2,"-",I$3),'Look-ups'!$I$3:$M$24,5,FALSE)</f>
        <v>302</v>
      </c>
      <c r="J73">
        <f>VLOOKUP(CONCATENATE($G73,"-",$F73,"-",$H$2),'Look-ups'!$O$3:$S$34,5,FALSE)*VLOOKUP(CONCATENATE($F73,"-",$H$2,"-",J$3),'Look-ups'!$I$3:$M$24,5,FALSE)</f>
        <v>352.33333333333337</v>
      </c>
      <c r="K73">
        <f>VLOOKUP(CONCATENATE($G73,"-",$F73,"-",$H$2),'Look-ups'!$O$3:$S$34,5,FALSE)*VLOOKUP(CONCATENATE($F73,"-",$H$2,"-",K$3),'Look-ups'!$I$3:$M$24,5,FALSE)</f>
        <v>453</v>
      </c>
      <c r="L73">
        <f>VLOOKUP(CONCATENATE($G73,"-",$F73,"-",$H$2),'Look-ups'!$O$3:$S$34,5,FALSE)*VLOOKUP(CONCATENATE($F73,"-",$H$2,"-",L$3),'Look-ups'!$I$3:$M$24,5,FALSE)</f>
        <v>503.33333333333337</v>
      </c>
      <c r="M73">
        <f>VLOOKUP(CONCATENATE($G73,"-",$F73,"-",$H$2),'Look-ups'!$O$3:$S$34,5,FALSE)*VLOOKUP(CONCATENATE($F73,"-",$H$2,"-",M$3),'Look-ups'!$I$3:$M$24,5,FALSE)</f>
        <v>553.66666666666663</v>
      </c>
      <c r="N73">
        <f>VLOOKUP(CONCATENATE($G73,"-",$F73,"-",$N$2),'Look-ups'!$O$3:$S$34,5,FALSE)*VLOOKUP(CONCATENATE($F73,"-",$N$2,"-",N$3),'Look-ups'!$I$3:$M$24,5,FALSE)</f>
        <v>218.25</v>
      </c>
      <c r="O73">
        <f>VLOOKUP(CONCATENATE($G73,"-",$F73,"-",$N$2),'Look-ups'!$O$3:$S$34,5,FALSE)*VLOOKUP(CONCATENATE($F73,"-",$N$2,"-",O$3),'Look-ups'!$I$3:$M$24,5,FALSE)</f>
        <v>218.25</v>
      </c>
      <c r="P73">
        <f>VLOOKUP(CONCATENATE($G73,"-",$F73,"-",$N$2),'Look-ups'!$O$3:$S$34,5,FALSE)*VLOOKUP(CONCATENATE($F73,"-",$N$2,"-",P$3),'Look-ups'!$I$3:$M$24,5,FALSE)</f>
        <v>291</v>
      </c>
      <c r="Q73">
        <f>VLOOKUP(CONCATENATE($G73,"-",$F73,"-",$N$2),'Look-ups'!$O$3:$S$34,5,FALSE)*VLOOKUP(CONCATENATE($F73,"-",$N$2,"-",Q$3),'Look-ups'!$I$3:$M$24,5,FALSE)</f>
        <v>374.14285714285717</v>
      </c>
      <c r="R73">
        <f>VLOOKUP(CONCATENATE($G73,"-",$F73,"-",$N$2),'Look-ups'!$O$3:$S$34,5,FALSE)*VLOOKUP(CONCATENATE($F73,"-",$N$2,"-",R$3),'Look-ups'!$I$3:$M$24,5,FALSE)</f>
        <v>426.10714285714283</v>
      </c>
      <c r="S73" s="117">
        <f>VLOOKUP(CONCATENATE($G73,"-",$F73,"-Lone Person"),'Look-ups'!$Y$4:$AG$35,5,FALSE)</f>
        <v>97.37</v>
      </c>
      <c r="T73">
        <f>VLOOKUP(CONCATENATE($G73,"-",$F73,"-Lone Person"),'Look-ups'!$Y$4:$AG$35,6,FALSE)</f>
        <v>138.03</v>
      </c>
      <c r="U73">
        <f>VLOOKUP(CONCATENATE($G73,"-",$F73,"-Lone Person"),'Look-ups'!$Y$4:$AG$35,7,FALSE)</f>
        <v>165.85000000000002</v>
      </c>
      <c r="V73">
        <f>VLOOKUP(CONCATENATE($G73,"-",$F73,"-Lone Person"),'Look-ups'!$Y$4:$AG$35,8,FALSE)</f>
        <v>203.3</v>
      </c>
      <c r="W73">
        <f>VLOOKUP(CONCATENATE($G73,"-",$F73,"-Lone Person"),'Look-ups'!$Y$4:$AG$35,9,FALSE)</f>
        <v>192.60000000000002</v>
      </c>
      <c r="X73" s="117">
        <f>VLOOKUP(CONCATENATE($G73,"-",$F73,"-Couple Only"),'Look-ups'!$Y$4:$AG$35,5,FALSE)</f>
        <v>156.22</v>
      </c>
      <c r="Y73">
        <f>VLOOKUP(CONCATENATE($G73,"-",$F73,"-Couple Only"),'Look-ups'!$Y$4:$AG$35,6,FALSE)</f>
        <v>148.73000000000002</v>
      </c>
      <c r="Z73">
        <f>VLOOKUP(CONCATENATE($G73,"-",$F73,"-Couple Only"),'Look-ups'!$Y$4:$AG$35,7,FALSE)</f>
        <v>167.99</v>
      </c>
      <c r="AA73">
        <f>VLOOKUP(CONCATENATE($G73,"-",$F73,"-Couple Only"),'Look-ups'!$Y$4:$AG$35,8,FALSE)</f>
        <v>185.11</v>
      </c>
      <c r="AB73">
        <f>VLOOKUP(CONCATENATE($G73,"-",$F73,"-Couple Only"),'Look-ups'!$Y$4:$AG$35,9,FALSE)</f>
        <v>232.19000000000003</v>
      </c>
      <c r="AC73">
        <v>9</v>
      </c>
      <c r="AD73" t="s">
        <v>165</v>
      </c>
      <c r="AE73" s="287">
        <f>VLOOKUP($AD73,'Look-ups'!$A$122:$G$130,5,FALSE)</f>
        <v>6.0509554140127389E-2</v>
      </c>
      <c r="AF73" s="287">
        <f>VLOOKUP($AD73,'Look-ups'!$A$122:$G$130,6,FALSE)</f>
        <v>0.14171974522292993</v>
      </c>
      <c r="AG73" s="287">
        <f>VLOOKUP($AD73,'Look-ups'!$A$122:$G$130,7,FALSE)</f>
        <v>0.79777070063694266</v>
      </c>
      <c r="AH73" s="291">
        <f>VLOOKUP($AC73,'Look-ups'!$A$50:$AO$118,'Look-ups'!$B$133*4,FALSE)*0.277778</f>
        <v>14.028700976231834</v>
      </c>
      <c r="AI73" s="291">
        <f>VLOOKUP($AC73,'Look-ups'!$A$50:$AO$118,'Look-ups'!$B$133*4+1,FALSE)*0.277778</f>
        <v>33.471337023768172</v>
      </c>
      <c r="AJ73" s="291">
        <f>AE73*$AH73/'Look-ups'!$B$141</f>
        <v>1.1096345637084422</v>
      </c>
      <c r="AK73" s="291">
        <f>AF73*$AH73/'Look-ups'!$B$140</f>
        <v>2.7234848330962249</v>
      </c>
      <c r="AL73" s="291">
        <f>AG73*$AH73/'Look-ups'!$B$137</f>
        <v>2.1317498298732631</v>
      </c>
      <c r="AM73" s="291">
        <f>AI73/'Look-ups'!$B$136</f>
        <v>7.0465972681617206</v>
      </c>
      <c r="AN73" s="290">
        <f>AJ73*VLOOKUP($AD73,'Look-ups'!$A$123:$M$130,10,FALSE)</f>
        <v>0.30114249131754106</v>
      </c>
      <c r="AO73" s="290">
        <f>AK73*VLOOKUP($AD73,'Look-ups'!$A$123:$M$130,9,FALSE)</f>
        <v>0.59020095121061678</v>
      </c>
      <c r="AP73" s="290">
        <f>(AL73+AM73)*VLOOKUP($AD73,'Look-ups'!$A$123:$M$130,8,FALSE)</f>
        <v>2.9370710713711947</v>
      </c>
      <c r="AQ73" s="290">
        <f t="shared" si="2"/>
        <v>3.8284145138993528</v>
      </c>
      <c r="AR73" s="292">
        <f>AJ73*VLOOKUP($AD73,'Look-ups'!$A$123:$M$130,11,FALSE)</f>
        <v>4.7937555403756004E-3</v>
      </c>
      <c r="AS73" s="292">
        <f>AK73*VLOOKUP($AD73,'Look-ups'!$A$123:$M$130,12,FALSE)</f>
        <v>0.50524237120440829</v>
      </c>
      <c r="AT73" s="292">
        <f>(AL73+AM73)*VLOOKUP($AD73,'Look-ups'!$A$123:$M$130,13,FALSE)</f>
        <v>2.3432320141283314</v>
      </c>
      <c r="AU73" s="292">
        <f t="shared" si="3"/>
        <v>2.8532681408731153</v>
      </c>
    </row>
    <row r="74" spans="1:47" x14ac:dyDescent="0.25">
      <c r="A74">
        <v>3011</v>
      </c>
      <c r="B74" t="s">
        <v>363</v>
      </c>
      <c r="C74">
        <v>212.4281</v>
      </c>
      <c r="D74">
        <v>84333</v>
      </c>
      <c r="E74">
        <v>396.99550106600776</v>
      </c>
      <c r="F74" t="s">
        <v>172</v>
      </c>
      <c r="G74" t="s">
        <v>165</v>
      </c>
      <c r="H74">
        <f>VLOOKUP(CONCATENATE($G74,"-",$F74,"-",$H$2),'Look-ups'!$O$3:$S$34,5,FALSE)*VLOOKUP(CONCATENATE($F74,"-",$H$2,"-",H$3),'Look-ups'!$I$3:$M$24,5,FALSE)</f>
        <v>201.33333333333331</v>
      </c>
      <c r="I74">
        <f>VLOOKUP(CONCATENATE($G74,"-",$F74,"-",$H$2),'Look-ups'!$O$3:$S$34,5,FALSE)*VLOOKUP(CONCATENATE($F74,"-",$H$2,"-",I$3),'Look-ups'!$I$3:$M$24,5,FALSE)</f>
        <v>302</v>
      </c>
      <c r="J74">
        <f>VLOOKUP(CONCATENATE($G74,"-",$F74,"-",$H$2),'Look-ups'!$O$3:$S$34,5,FALSE)*VLOOKUP(CONCATENATE($F74,"-",$H$2,"-",J$3),'Look-ups'!$I$3:$M$24,5,FALSE)</f>
        <v>352.33333333333337</v>
      </c>
      <c r="K74">
        <f>VLOOKUP(CONCATENATE($G74,"-",$F74,"-",$H$2),'Look-ups'!$O$3:$S$34,5,FALSE)*VLOOKUP(CONCATENATE($F74,"-",$H$2,"-",K$3),'Look-ups'!$I$3:$M$24,5,FALSE)</f>
        <v>453</v>
      </c>
      <c r="L74">
        <f>VLOOKUP(CONCATENATE($G74,"-",$F74,"-",$H$2),'Look-ups'!$O$3:$S$34,5,FALSE)*VLOOKUP(CONCATENATE($F74,"-",$H$2,"-",L$3),'Look-ups'!$I$3:$M$24,5,FALSE)</f>
        <v>503.33333333333337</v>
      </c>
      <c r="M74">
        <f>VLOOKUP(CONCATENATE($G74,"-",$F74,"-",$H$2),'Look-ups'!$O$3:$S$34,5,FALSE)*VLOOKUP(CONCATENATE($F74,"-",$H$2,"-",M$3),'Look-ups'!$I$3:$M$24,5,FALSE)</f>
        <v>553.66666666666663</v>
      </c>
      <c r="N74">
        <f>VLOOKUP(CONCATENATE($G74,"-",$F74,"-",$N$2),'Look-ups'!$O$3:$S$34,5,FALSE)*VLOOKUP(CONCATENATE($F74,"-",$N$2,"-",N$3),'Look-ups'!$I$3:$M$24,5,FALSE)</f>
        <v>218.25</v>
      </c>
      <c r="O74">
        <f>VLOOKUP(CONCATENATE($G74,"-",$F74,"-",$N$2),'Look-ups'!$O$3:$S$34,5,FALSE)*VLOOKUP(CONCATENATE($F74,"-",$N$2,"-",O$3),'Look-ups'!$I$3:$M$24,5,FALSE)</f>
        <v>218.25</v>
      </c>
      <c r="P74">
        <f>VLOOKUP(CONCATENATE($G74,"-",$F74,"-",$N$2),'Look-ups'!$O$3:$S$34,5,FALSE)*VLOOKUP(CONCATENATE($F74,"-",$N$2,"-",P$3),'Look-ups'!$I$3:$M$24,5,FALSE)</f>
        <v>291</v>
      </c>
      <c r="Q74">
        <f>VLOOKUP(CONCATENATE($G74,"-",$F74,"-",$N$2),'Look-ups'!$O$3:$S$34,5,FALSE)*VLOOKUP(CONCATENATE($F74,"-",$N$2,"-",Q$3),'Look-ups'!$I$3:$M$24,5,FALSE)</f>
        <v>374.14285714285717</v>
      </c>
      <c r="R74">
        <f>VLOOKUP(CONCATENATE($G74,"-",$F74,"-",$N$2),'Look-ups'!$O$3:$S$34,5,FALSE)*VLOOKUP(CONCATENATE($F74,"-",$N$2,"-",R$3),'Look-ups'!$I$3:$M$24,5,FALSE)</f>
        <v>426.10714285714283</v>
      </c>
      <c r="S74" s="117">
        <f>VLOOKUP(CONCATENATE($G74,"-",$F74,"-Lone Person"),'Look-ups'!$Y$4:$AG$35,5,FALSE)</f>
        <v>97.37</v>
      </c>
      <c r="T74">
        <f>VLOOKUP(CONCATENATE($G74,"-",$F74,"-Lone Person"),'Look-ups'!$Y$4:$AG$35,6,FALSE)</f>
        <v>138.03</v>
      </c>
      <c r="U74">
        <f>VLOOKUP(CONCATENATE($G74,"-",$F74,"-Lone Person"),'Look-ups'!$Y$4:$AG$35,7,FALSE)</f>
        <v>165.85000000000002</v>
      </c>
      <c r="V74">
        <f>VLOOKUP(CONCATENATE($G74,"-",$F74,"-Lone Person"),'Look-ups'!$Y$4:$AG$35,8,FALSE)</f>
        <v>203.3</v>
      </c>
      <c r="W74">
        <f>VLOOKUP(CONCATENATE($G74,"-",$F74,"-Lone Person"),'Look-ups'!$Y$4:$AG$35,9,FALSE)</f>
        <v>192.60000000000002</v>
      </c>
      <c r="X74" s="117">
        <f>VLOOKUP(CONCATENATE($G74,"-",$F74,"-Couple Only"),'Look-ups'!$Y$4:$AG$35,5,FALSE)</f>
        <v>156.22</v>
      </c>
      <c r="Y74">
        <f>VLOOKUP(CONCATENATE($G74,"-",$F74,"-Couple Only"),'Look-ups'!$Y$4:$AG$35,6,FALSE)</f>
        <v>148.73000000000002</v>
      </c>
      <c r="Z74">
        <f>VLOOKUP(CONCATENATE($G74,"-",$F74,"-Couple Only"),'Look-ups'!$Y$4:$AG$35,7,FALSE)</f>
        <v>167.99</v>
      </c>
      <c r="AA74">
        <f>VLOOKUP(CONCATENATE($G74,"-",$F74,"-Couple Only"),'Look-ups'!$Y$4:$AG$35,8,FALSE)</f>
        <v>185.11</v>
      </c>
      <c r="AB74">
        <f>VLOOKUP(CONCATENATE($G74,"-",$F74,"-Couple Only"),'Look-ups'!$Y$4:$AG$35,9,FALSE)</f>
        <v>232.19000000000003</v>
      </c>
      <c r="AC74">
        <v>35</v>
      </c>
      <c r="AD74" t="s">
        <v>165</v>
      </c>
      <c r="AE74" s="287">
        <f>VLOOKUP($AD74,'Look-ups'!$A$122:$G$130,5,FALSE)</f>
        <v>6.0509554140127389E-2</v>
      </c>
      <c r="AF74" s="287">
        <f>VLOOKUP($AD74,'Look-ups'!$A$122:$G$130,6,FALSE)</f>
        <v>0.14171974522292993</v>
      </c>
      <c r="AG74" s="287">
        <f>VLOOKUP($AD74,'Look-ups'!$A$122:$G$130,7,FALSE)</f>
        <v>0.79777070063694266</v>
      </c>
      <c r="AH74" s="291">
        <f>VLOOKUP($AC74,'Look-ups'!$A$50:$AO$118,'Look-ups'!$B$133*4,FALSE)*0.277778</f>
        <v>0.66847090452090363</v>
      </c>
      <c r="AI74" s="291">
        <f>VLOOKUP($AC74,'Look-ups'!$A$50:$AO$118,'Look-ups'!$B$133*4+1,FALSE)*0.277778</f>
        <v>43.498231095479099</v>
      </c>
      <c r="AJ74" s="291">
        <f>AE74*$AH74/'Look-ups'!$B$141</f>
        <v>5.2874348219879151E-2</v>
      </c>
      <c r="AK74" s="291">
        <f>AF74*$AH74/'Look-ups'!$B$140</f>
        <v>0.12977469353101914</v>
      </c>
      <c r="AL74" s="291">
        <f>AG74*$AH74/'Look-ups'!$B$137</f>
        <v>0.10157838130572421</v>
      </c>
      <c r="AM74" s="291">
        <f>AI74/'Look-ups'!$B$136</f>
        <v>9.1575223358903362</v>
      </c>
      <c r="AN74" s="290">
        <f>AJ74*VLOOKUP($AD74,'Look-ups'!$A$123:$M$130,10,FALSE)</f>
        <v>1.4349510614117201E-2</v>
      </c>
      <c r="AO74" s="290">
        <f>AK74*VLOOKUP($AD74,'Look-ups'!$A$123:$M$130,9,FALSE)</f>
        <v>2.8123214285720097E-2</v>
      </c>
      <c r="AP74" s="290">
        <f>(AL74+AM74)*VLOOKUP($AD74,'Look-ups'!$A$123:$M$130,8,FALSE)</f>
        <v>2.9629122295027397</v>
      </c>
      <c r="AQ74" s="290">
        <f t="shared" si="2"/>
        <v>3.0053849544025768</v>
      </c>
      <c r="AR74" s="292">
        <f>AJ74*VLOOKUP($AD74,'Look-ups'!$A$123:$M$130,11,FALSE)</f>
        <v>2.2842358017012267E-4</v>
      </c>
      <c r="AS74" s="292">
        <f>AK74*VLOOKUP($AD74,'Look-ups'!$A$123:$M$130,12,FALSE)</f>
        <v>2.4074917945254768E-2</v>
      </c>
      <c r="AT74" s="292">
        <f>(AL74+AM74)*VLOOKUP($AD74,'Look-ups'!$A$123:$M$130,13,FALSE)</f>
        <v>2.3638484131001545</v>
      </c>
      <c r="AU74" s="292">
        <f t="shared" si="3"/>
        <v>2.3881517546255795</v>
      </c>
    </row>
    <row r="75" spans="1:47" x14ac:dyDescent="0.25">
      <c r="A75">
        <v>3012</v>
      </c>
      <c r="B75" t="s">
        <v>364</v>
      </c>
      <c r="C75">
        <v>170.624699999999</v>
      </c>
      <c r="D75">
        <v>27489</v>
      </c>
      <c r="E75">
        <v>161.1079755744635</v>
      </c>
      <c r="F75" t="s">
        <v>172</v>
      </c>
      <c r="G75" t="s">
        <v>165</v>
      </c>
      <c r="H75">
        <f>VLOOKUP(CONCATENATE($G75,"-",$F75,"-",$H$2),'Look-ups'!$O$3:$S$34,5,FALSE)*VLOOKUP(CONCATENATE($F75,"-",$H$2,"-",H$3),'Look-ups'!$I$3:$M$24,5,FALSE)</f>
        <v>201.33333333333331</v>
      </c>
      <c r="I75">
        <f>VLOOKUP(CONCATENATE($G75,"-",$F75,"-",$H$2),'Look-ups'!$O$3:$S$34,5,FALSE)*VLOOKUP(CONCATENATE($F75,"-",$H$2,"-",I$3),'Look-ups'!$I$3:$M$24,5,FALSE)</f>
        <v>302</v>
      </c>
      <c r="J75">
        <f>VLOOKUP(CONCATENATE($G75,"-",$F75,"-",$H$2),'Look-ups'!$O$3:$S$34,5,FALSE)*VLOOKUP(CONCATENATE($F75,"-",$H$2,"-",J$3),'Look-ups'!$I$3:$M$24,5,FALSE)</f>
        <v>352.33333333333337</v>
      </c>
      <c r="K75">
        <f>VLOOKUP(CONCATENATE($G75,"-",$F75,"-",$H$2),'Look-ups'!$O$3:$S$34,5,FALSE)*VLOOKUP(CONCATENATE($F75,"-",$H$2,"-",K$3),'Look-ups'!$I$3:$M$24,5,FALSE)</f>
        <v>453</v>
      </c>
      <c r="L75">
        <f>VLOOKUP(CONCATENATE($G75,"-",$F75,"-",$H$2),'Look-ups'!$O$3:$S$34,5,FALSE)*VLOOKUP(CONCATENATE($F75,"-",$H$2,"-",L$3),'Look-ups'!$I$3:$M$24,5,FALSE)</f>
        <v>503.33333333333337</v>
      </c>
      <c r="M75">
        <f>VLOOKUP(CONCATENATE($G75,"-",$F75,"-",$H$2),'Look-ups'!$O$3:$S$34,5,FALSE)*VLOOKUP(CONCATENATE($F75,"-",$H$2,"-",M$3),'Look-ups'!$I$3:$M$24,5,FALSE)</f>
        <v>553.66666666666663</v>
      </c>
      <c r="N75">
        <f>VLOOKUP(CONCATENATE($G75,"-",$F75,"-",$N$2),'Look-ups'!$O$3:$S$34,5,FALSE)*VLOOKUP(CONCATENATE($F75,"-",$N$2,"-",N$3),'Look-ups'!$I$3:$M$24,5,FALSE)</f>
        <v>218.25</v>
      </c>
      <c r="O75">
        <f>VLOOKUP(CONCATENATE($G75,"-",$F75,"-",$N$2),'Look-ups'!$O$3:$S$34,5,FALSE)*VLOOKUP(CONCATENATE($F75,"-",$N$2,"-",O$3),'Look-ups'!$I$3:$M$24,5,FALSE)</f>
        <v>218.25</v>
      </c>
      <c r="P75">
        <f>VLOOKUP(CONCATENATE($G75,"-",$F75,"-",$N$2),'Look-ups'!$O$3:$S$34,5,FALSE)*VLOOKUP(CONCATENATE($F75,"-",$N$2,"-",P$3),'Look-ups'!$I$3:$M$24,5,FALSE)</f>
        <v>291</v>
      </c>
      <c r="Q75">
        <f>VLOOKUP(CONCATENATE($G75,"-",$F75,"-",$N$2),'Look-ups'!$O$3:$S$34,5,FALSE)*VLOOKUP(CONCATENATE($F75,"-",$N$2,"-",Q$3),'Look-ups'!$I$3:$M$24,5,FALSE)</f>
        <v>374.14285714285717</v>
      </c>
      <c r="R75">
        <f>VLOOKUP(CONCATENATE($G75,"-",$F75,"-",$N$2),'Look-ups'!$O$3:$S$34,5,FALSE)*VLOOKUP(CONCATENATE($F75,"-",$N$2,"-",R$3),'Look-ups'!$I$3:$M$24,5,FALSE)</f>
        <v>426.10714285714283</v>
      </c>
      <c r="S75" s="117">
        <f>VLOOKUP(CONCATENATE($G75,"-",$F75,"-Lone Person"),'Look-ups'!$Y$4:$AG$35,5,FALSE)</f>
        <v>97.37</v>
      </c>
      <c r="T75">
        <f>VLOOKUP(CONCATENATE($G75,"-",$F75,"-Lone Person"),'Look-ups'!$Y$4:$AG$35,6,FALSE)</f>
        <v>138.03</v>
      </c>
      <c r="U75">
        <f>VLOOKUP(CONCATENATE($G75,"-",$F75,"-Lone Person"),'Look-ups'!$Y$4:$AG$35,7,FALSE)</f>
        <v>165.85000000000002</v>
      </c>
      <c r="V75">
        <f>VLOOKUP(CONCATENATE($G75,"-",$F75,"-Lone Person"),'Look-ups'!$Y$4:$AG$35,8,FALSE)</f>
        <v>203.3</v>
      </c>
      <c r="W75">
        <f>VLOOKUP(CONCATENATE($G75,"-",$F75,"-Lone Person"),'Look-ups'!$Y$4:$AG$35,9,FALSE)</f>
        <v>192.60000000000002</v>
      </c>
      <c r="X75" s="117">
        <f>VLOOKUP(CONCATENATE($G75,"-",$F75,"-Couple Only"),'Look-ups'!$Y$4:$AG$35,5,FALSE)</f>
        <v>156.22</v>
      </c>
      <c r="Y75">
        <f>VLOOKUP(CONCATENATE($G75,"-",$F75,"-Couple Only"),'Look-ups'!$Y$4:$AG$35,6,FALSE)</f>
        <v>148.73000000000002</v>
      </c>
      <c r="Z75">
        <f>VLOOKUP(CONCATENATE($G75,"-",$F75,"-Couple Only"),'Look-ups'!$Y$4:$AG$35,7,FALSE)</f>
        <v>167.99</v>
      </c>
      <c r="AA75">
        <f>VLOOKUP(CONCATENATE($G75,"-",$F75,"-Couple Only"),'Look-ups'!$Y$4:$AG$35,8,FALSE)</f>
        <v>185.11</v>
      </c>
      <c r="AB75">
        <f>VLOOKUP(CONCATENATE($G75,"-",$F75,"-Couple Only"),'Look-ups'!$Y$4:$AG$35,9,FALSE)</f>
        <v>232.19000000000003</v>
      </c>
      <c r="AC75">
        <v>36</v>
      </c>
      <c r="AD75" t="s">
        <v>165</v>
      </c>
      <c r="AE75" s="287">
        <f>VLOOKUP($AD75,'Look-ups'!$A$122:$G$130,5,FALSE)</f>
        <v>6.0509554140127389E-2</v>
      </c>
      <c r="AF75" s="287">
        <f>VLOOKUP($AD75,'Look-ups'!$A$122:$G$130,6,FALSE)</f>
        <v>0.14171974522292993</v>
      </c>
      <c r="AG75" s="287">
        <f>VLOOKUP($AD75,'Look-ups'!$A$122:$G$130,7,FALSE)</f>
        <v>0.79777070063694266</v>
      </c>
      <c r="AH75" s="291">
        <f>VLOOKUP($AC75,'Look-ups'!$A$50:$AO$118,'Look-ups'!$B$133*4,FALSE)*0.277778</f>
        <v>0.51660811486851754</v>
      </c>
      <c r="AI75" s="291">
        <f>VLOOKUP($AC75,'Look-ups'!$A$50:$AO$118,'Look-ups'!$B$133*4+1,FALSE)*0.277778</f>
        <v>38.927867885131484</v>
      </c>
      <c r="AJ75" s="291">
        <f>AE75*$AH75/'Look-ups'!$B$141</f>
        <v>4.0862387837732966E-2</v>
      </c>
      <c r="AK75" s="291">
        <f>AF75*$AH75/'Look-ups'!$B$140</f>
        <v>0.10029256221817044</v>
      </c>
      <c r="AL75" s="291">
        <f>AG75*$AH75/'Look-ups'!$B$137</f>
        <v>7.8501870048264269E-2</v>
      </c>
      <c r="AM75" s="291">
        <f>AI75/'Look-ups'!$B$136</f>
        <v>8.1953406073961013</v>
      </c>
      <c r="AN75" s="290">
        <f>AJ75*VLOOKUP($AD75,'Look-ups'!$A$123:$M$130,10,FALSE)</f>
        <v>1.1089598032629195E-2</v>
      </c>
      <c r="AO75" s="290">
        <f>AK75*VLOOKUP($AD75,'Look-ups'!$A$123:$M$130,9,FALSE)</f>
        <v>2.173420057317528E-2</v>
      </c>
      <c r="AP75" s="290">
        <f>(AL75+AM75)*VLOOKUP($AD75,'Look-ups'!$A$123:$M$130,8,FALSE)</f>
        <v>2.6476295927821969</v>
      </c>
      <c r="AQ75" s="290">
        <f t="shared" si="2"/>
        <v>2.6804533913880015</v>
      </c>
      <c r="AR75" s="292">
        <f>AJ75*VLOOKUP($AD75,'Look-ups'!$A$123:$M$130,11,FALSE)</f>
        <v>1.7653045831183913E-4</v>
      </c>
      <c r="AS75" s="292">
        <f>AK75*VLOOKUP($AD75,'Look-ups'!$A$123:$M$130,12,FALSE)</f>
        <v>1.8605593588588844E-2</v>
      </c>
      <c r="AT75" s="292">
        <f>(AL75+AM75)*VLOOKUP($AD75,'Look-ups'!$A$123:$M$130,13,FALSE)</f>
        <v>2.1123119844915466</v>
      </c>
      <c r="AU75" s="292">
        <f t="shared" si="3"/>
        <v>2.1310941085384472</v>
      </c>
    </row>
    <row r="76" spans="1:47" x14ac:dyDescent="0.25">
      <c r="A76">
        <v>3013</v>
      </c>
      <c r="B76" t="s">
        <v>365</v>
      </c>
      <c r="C76">
        <v>68.696399999999898</v>
      </c>
      <c r="D76">
        <v>18317</v>
      </c>
      <c r="E76">
        <v>266.63697078740699</v>
      </c>
      <c r="F76" t="s">
        <v>172</v>
      </c>
      <c r="G76" t="s">
        <v>165</v>
      </c>
      <c r="H76">
        <f>VLOOKUP(CONCATENATE($G76,"-",$F76,"-",$H$2),'Look-ups'!$O$3:$S$34,5,FALSE)*VLOOKUP(CONCATENATE($F76,"-",$H$2,"-",H$3),'Look-ups'!$I$3:$M$24,5,FALSE)</f>
        <v>201.33333333333331</v>
      </c>
      <c r="I76">
        <f>VLOOKUP(CONCATENATE($G76,"-",$F76,"-",$H$2),'Look-ups'!$O$3:$S$34,5,FALSE)*VLOOKUP(CONCATENATE($F76,"-",$H$2,"-",I$3),'Look-ups'!$I$3:$M$24,5,FALSE)</f>
        <v>302</v>
      </c>
      <c r="J76">
        <f>VLOOKUP(CONCATENATE($G76,"-",$F76,"-",$H$2),'Look-ups'!$O$3:$S$34,5,FALSE)*VLOOKUP(CONCATENATE($F76,"-",$H$2,"-",J$3),'Look-ups'!$I$3:$M$24,5,FALSE)</f>
        <v>352.33333333333337</v>
      </c>
      <c r="K76">
        <f>VLOOKUP(CONCATENATE($G76,"-",$F76,"-",$H$2),'Look-ups'!$O$3:$S$34,5,FALSE)*VLOOKUP(CONCATENATE($F76,"-",$H$2,"-",K$3),'Look-ups'!$I$3:$M$24,5,FALSE)</f>
        <v>453</v>
      </c>
      <c r="L76">
        <f>VLOOKUP(CONCATENATE($G76,"-",$F76,"-",$H$2),'Look-ups'!$O$3:$S$34,5,FALSE)*VLOOKUP(CONCATENATE($F76,"-",$H$2,"-",L$3),'Look-ups'!$I$3:$M$24,5,FALSE)</f>
        <v>503.33333333333337</v>
      </c>
      <c r="M76">
        <f>VLOOKUP(CONCATENATE($G76,"-",$F76,"-",$H$2),'Look-ups'!$O$3:$S$34,5,FALSE)*VLOOKUP(CONCATENATE($F76,"-",$H$2,"-",M$3),'Look-ups'!$I$3:$M$24,5,FALSE)</f>
        <v>553.66666666666663</v>
      </c>
      <c r="N76">
        <f>VLOOKUP(CONCATENATE($G76,"-",$F76,"-",$N$2),'Look-ups'!$O$3:$S$34,5,FALSE)*VLOOKUP(CONCATENATE($F76,"-",$N$2,"-",N$3),'Look-ups'!$I$3:$M$24,5,FALSE)</f>
        <v>218.25</v>
      </c>
      <c r="O76">
        <f>VLOOKUP(CONCATENATE($G76,"-",$F76,"-",$N$2),'Look-ups'!$O$3:$S$34,5,FALSE)*VLOOKUP(CONCATENATE($F76,"-",$N$2,"-",O$3),'Look-ups'!$I$3:$M$24,5,FALSE)</f>
        <v>218.25</v>
      </c>
      <c r="P76">
        <f>VLOOKUP(CONCATENATE($G76,"-",$F76,"-",$N$2),'Look-ups'!$O$3:$S$34,5,FALSE)*VLOOKUP(CONCATENATE($F76,"-",$N$2,"-",P$3),'Look-ups'!$I$3:$M$24,5,FALSE)</f>
        <v>291</v>
      </c>
      <c r="Q76">
        <f>VLOOKUP(CONCATENATE($G76,"-",$F76,"-",$N$2),'Look-ups'!$O$3:$S$34,5,FALSE)*VLOOKUP(CONCATENATE($F76,"-",$N$2,"-",Q$3),'Look-ups'!$I$3:$M$24,5,FALSE)</f>
        <v>374.14285714285717</v>
      </c>
      <c r="R76">
        <f>VLOOKUP(CONCATENATE($G76,"-",$F76,"-",$N$2),'Look-ups'!$O$3:$S$34,5,FALSE)*VLOOKUP(CONCATENATE($F76,"-",$N$2,"-",R$3),'Look-ups'!$I$3:$M$24,5,FALSE)</f>
        <v>426.10714285714283</v>
      </c>
      <c r="S76" s="117">
        <f>VLOOKUP(CONCATENATE($G76,"-",$F76,"-Lone Person"),'Look-ups'!$Y$4:$AG$35,5,FALSE)</f>
        <v>97.37</v>
      </c>
      <c r="T76">
        <f>VLOOKUP(CONCATENATE($G76,"-",$F76,"-Lone Person"),'Look-ups'!$Y$4:$AG$35,6,FALSE)</f>
        <v>138.03</v>
      </c>
      <c r="U76">
        <f>VLOOKUP(CONCATENATE($G76,"-",$F76,"-Lone Person"),'Look-ups'!$Y$4:$AG$35,7,FALSE)</f>
        <v>165.85000000000002</v>
      </c>
      <c r="V76">
        <f>VLOOKUP(CONCATENATE($G76,"-",$F76,"-Lone Person"),'Look-ups'!$Y$4:$AG$35,8,FALSE)</f>
        <v>203.3</v>
      </c>
      <c r="W76">
        <f>VLOOKUP(CONCATENATE($G76,"-",$F76,"-Lone Person"),'Look-ups'!$Y$4:$AG$35,9,FALSE)</f>
        <v>192.60000000000002</v>
      </c>
      <c r="X76" s="117">
        <f>VLOOKUP(CONCATENATE($G76,"-",$F76,"-Couple Only"),'Look-ups'!$Y$4:$AG$35,5,FALSE)</f>
        <v>156.22</v>
      </c>
      <c r="Y76">
        <f>VLOOKUP(CONCATENATE($G76,"-",$F76,"-Couple Only"),'Look-ups'!$Y$4:$AG$35,6,FALSE)</f>
        <v>148.73000000000002</v>
      </c>
      <c r="Z76">
        <f>VLOOKUP(CONCATENATE($G76,"-",$F76,"-Couple Only"),'Look-ups'!$Y$4:$AG$35,7,FALSE)</f>
        <v>167.99</v>
      </c>
      <c r="AA76">
        <f>VLOOKUP(CONCATENATE($G76,"-",$F76,"-Couple Only"),'Look-ups'!$Y$4:$AG$35,8,FALSE)</f>
        <v>185.11</v>
      </c>
      <c r="AB76">
        <f>VLOOKUP(CONCATENATE($G76,"-",$F76,"-Couple Only"),'Look-ups'!$Y$4:$AG$35,9,FALSE)</f>
        <v>232.19000000000003</v>
      </c>
      <c r="AC76">
        <v>39</v>
      </c>
      <c r="AD76" t="s">
        <v>165</v>
      </c>
      <c r="AE76" s="287">
        <f>VLOOKUP($AD76,'Look-ups'!$A$122:$G$130,5,FALSE)</f>
        <v>6.0509554140127389E-2</v>
      </c>
      <c r="AF76" s="287">
        <f>VLOOKUP($AD76,'Look-ups'!$A$122:$G$130,6,FALSE)</f>
        <v>0.14171974522292993</v>
      </c>
      <c r="AG76" s="287">
        <f>VLOOKUP($AD76,'Look-ups'!$A$122:$G$130,7,FALSE)</f>
        <v>0.79777070063694266</v>
      </c>
      <c r="AH76" s="291">
        <f>VLOOKUP($AC76,'Look-ups'!$A$50:$AO$118,'Look-ups'!$B$133*4,FALSE)*0.277778</f>
        <v>0.97496149789314812</v>
      </c>
      <c r="AI76" s="291">
        <f>VLOOKUP($AC76,'Look-ups'!$A$50:$AO$118,'Look-ups'!$B$133*4+1,FALSE)*0.277778</f>
        <v>81.802882502106868</v>
      </c>
      <c r="AJ76" s="291">
        <f>AE76*$AH76/'Look-ups'!$B$141</f>
        <v>7.7116974563797583E-2</v>
      </c>
      <c r="AK76" s="291">
        <f>AF76*$AH76/'Look-ups'!$B$140</f>
        <v>0.18927574668983985</v>
      </c>
      <c r="AL76" s="291">
        <f>AG76*$AH76/'Look-ups'!$B$137</f>
        <v>0.14815156519395428</v>
      </c>
      <c r="AM76" s="291">
        <f>AI76/'Look-ups'!$B$136</f>
        <v>17.221659474127762</v>
      </c>
      <c r="AN76" s="290">
        <f>AJ76*VLOOKUP($AD76,'Look-ups'!$A$123:$M$130,10,FALSE)</f>
        <v>2.0928690041341728E-2</v>
      </c>
      <c r="AO76" s="290">
        <f>AK76*VLOOKUP($AD76,'Look-ups'!$A$123:$M$130,9,FALSE)</f>
        <v>4.1017568513661819E-2</v>
      </c>
      <c r="AP76" s="290">
        <f>(AL76+AM76)*VLOOKUP($AD76,'Look-ups'!$A$123:$M$130,8,FALSE)</f>
        <v>5.5583395325829494</v>
      </c>
      <c r="AQ76" s="290">
        <f t="shared" si="2"/>
        <v>5.6202857911379533</v>
      </c>
      <c r="AR76" s="292">
        <f>AJ76*VLOOKUP($AD76,'Look-ups'!$A$123:$M$130,11,FALSE)</f>
        <v>3.3315465844604205E-4</v>
      </c>
      <c r="AS76" s="292">
        <f>AK76*VLOOKUP($AD76,'Look-ups'!$A$123:$M$130,12,FALSE)</f>
        <v>3.5113148385093593E-2</v>
      </c>
      <c r="AT76" s="292">
        <f>(AL76+AM76)*VLOOKUP($AD76,'Look-ups'!$A$123:$M$130,13,FALSE)</f>
        <v>4.4345127583388351</v>
      </c>
      <c r="AU76" s="292">
        <f t="shared" si="3"/>
        <v>4.469959061382375</v>
      </c>
    </row>
    <row r="77" spans="1:47" x14ac:dyDescent="0.25">
      <c r="A77">
        <v>3014</v>
      </c>
      <c r="B77" t="s">
        <v>366</v>
      </c>
      <c r="C77">
        <v>579.64390000000003</v>
      </c>
      <c r="D77">
        <v>79293</v>
      </c>
      <c r="E77">
        <v>136.79605702742666</v>
      </c>
      <c r="F77" t="s">
        <v>172</v>
      </c>
      <c r="G77" t="s">
        <v>165</v>
      </c>
      <c r="H77">
        <f>VLOOKUP(CONCATENATE($G77,"-",$F77,"-",$H$2),'Look-ups'!$O$3:$S$34,5,FALSE)*VLOOKUP(CONCATENATE($F77,"-",$H$2,"-",H$3),'Look-ups'!$I$3:$M$24,5,FALSE)</f>
        <v>201.33333333333331</v>
      </c>
      <c r="I77">
        <f>VLOOKUP(CONCATENATE($G77,"-",$F77,"-",$H$2),'Look-ups'!$O$3:$S$34,5,FALSE)*VLOOKUP(CONCATENATE($F77,"-",$H$2,"-",I$3),'Look-ups'!$I$3:$M$24,5,FALSE)</f>
        <v>302</v>
      </c>
      <c r="J77">
        <f>VLOOKUP(CONCATENATE($G77,"-",$F77,"-",$H$2),'Look-ups'!$O$3:$S$34,5,FALSE)*VLOOKUP(CONCATENATE($F77,"-",$H$2,"-",J$3),'Look-ups'!$I$3:$M$24,5,FALSE)</f>
        <v>352.33333333333337</v>
      </c>
      <c r="K77">
        <f>VLOOKUP(CONCATENATE($G77,"-",$F77,"-",$H$2),'Look-ups'!$O$3:$S$34,5,FALSE)*VLOOKUP(CONCATENATE($F77,"-",$H$2,"-",K$3),'Look-ups'!$I$3:$M$24,5,FALSE)</f>
        <v>453</v>
      </c>
      <c r="L77">
        <f>VLOOKUP(CONCATENATE($G77,"-",$F77,"-",$H$2),'Look-ups'!$O$3:$S$34,5,FALSE)*VLOOKUP(CONCATENATE($F77,"-",$H$2,"-",L$3),'Look-ups'!$I$3:$M$24,5,FALSE)</f>
        <v>503.33333333333337</v>
      </c>
      <c r="M77">
        <f>VLOOKUP(CONCATENATE($G77,"-",$F77,"-",$H$2),'Look-ups'!$O$3:$S$34,5,FALSE)*VLOOKUP(CONCATENATE($F77,"-",$H$2,"-",M$3),'Look-ups'!$I$3:$M$24,5,FALSE)</f>
        <v>553.66666666666663</v>
      </c>
      <c r="N77">
        <f>VLOOKUP(CONCATENATE($G77,"-",$F77,"-",$N$2),'Look-ups'!$O$3:$S$34,5,FALSE)*VLOOKUP(CONCATENATE($F77,"-",$N$2,"-",N$3),'Look-ups'!$I$3:$M$24,5,FALSE)</f>
        <v>218.25</v>
      </c>
      <c r="O77">
        <f>VLOOKUP(CONCATENATE($G77,"-",$F77,"-",$N$2),'Look-ups'!$O$3:$S$34,5,FALSE)*VLOOKUP(CONCATENATE($F77,"-",$N$2,"-",O$3),'Look-ups'!$I$3:$M$24,5,FALSE)</f>
        <v>218.25</v>
      </c>
      <c r="P77">
        <f>VLOOKUP(CONCATENATE($G77,"-",$F77,"-",$N$2),'Look-ups'!$O$3:$S$34,5,FALSE)*VLOOKUP(CONCATENATE($F77,"-",$N$2,"-",P$3),'Look-ups'!$I$3:$M$24,5,FALSE)</f>
        <v>291</v>
      </c>
      <c r="Q77">
        <f>VLOOKUP(CONCATENATE($G77,"-",$F77,"-",$N$2),'Look-ups'!$O$3:$S$34,5,FALSE)*VLOOKUP(CONCATENATE($F77,"-",$N$2,"-",Q$3),'Look-ups'!$I$3:$M$24,5,FALSE)</f>
        <v>374.14285714285717</v>
      </c>
      <c r="R77">
        <f>VLOOKUP(CONCATENATE($G77,"-",$F77,"-",$N$2),'Look-ups'!$O$3:$S$34,5,FALSE)*VLOOKUP(CONCATENATE($F77,"-",$N$2,"-",R$3),'Look-ups'!$I$3:$M$24,5,FALSE)</f>
        <v>426.10714285714283</v>
      </c>
      <c r="S77" s="117">
        <f>VLOOKUP(CONCATENATE($G77,"-",$F77,"-Lone Person"),'Look-ups'!$Y$4:$AG$35,5,FALSE)</f>
        <v>97.37</v>
      </c>
      <c r="T77">
        <f>VLOOKUP(CONCATENATE($G77,"-",$F77,"-Lone Person"),'Look-ups'!$Y$4:$AG$35,6,FALSE)</f>
        <v>138.03</v>
      </c>
      <c r="U77">
        <f>VLOOKUP(CONCATENATE($G77,"-",$F77,"-Lone Person"),'Look-ups'!$Y$4:$AG$35,7,FALSE)</f>
        <v>165.85000000000002</v>
      </c>
      <c r="V77">
        <f>VLOOKUP(CONCATENATE($G77,"-",$F77,"-Lone Person"),'Look-ups'!$Y$4:$AG$35,8,FALSE)</f>
        <v>203.3</v>
      </c>
      <c r="W77">
        <f>VLOOKUP(CONCATENATE($G77,"-",$F77,"-Lone Person"),'Look-ups'!$Y$4:$AG$35,9,FALSE)</f>
        <v>192.60000000000002</v>
      </c>
      <c r="X77" s="117">
        <f>VLOOKUP(CONCATENATE($G77,"-",$F77,"-Couple Only"),'Look-ups'!$Y$4:$AG$35,5,FALSE)</f>
        <v>156.22</v>
      </c>
      <c r="Y77">
        <f>VLOOKUP(CONCATENATE($G77,"-",$F77,"-Couple Only"),'Look-ups'!$Y$4:$AG$35,6,FALSE)</f>
        <v>148.73000000000002</v>
      </c>
      <c r="Z77">
        <f>VLOOKUP(CONCATENATE($G77,"-",$F77,"-Couple Only"),'Look-ups'!$Y$4:$AG$35,7,FALSE)</f>
        <v>167.99</v>
      </c>
      <c r="AA77">
        <f>VLOOKUP(CONCATENATE($G77,"-",$F77,"-Couple Only"),'Look-ups'!$Y$4:$AG$35,8,FALSE)</f>
        <v>185.11</v>
      </c>
      <c r="AB77">
        <f>VLOOKUP(CONCATENATE($G77,"-",$F77,"-Couple Only"),'Look-ups'!$Y$4:$AG$35,9,FALSE)</f>
        <v>232.19000000000003</v>
      </c>
      <c r="AC77">
        <v>7</v>
      </c>
      <c r="AD77" t="s">
        <v>165</v>
      </c>
      <c r="AE77" s="287">
        <f>VLOOKUP($AD77,'Look-ups'!$A$122:$G$130,5,FALSE)</f>
        <v>6.0509554140127389E-2</v>
      </c>
      <c r="AF77" s="287">
        <f>VLOOKUP($AD77,'Look-ups'!$A$122:$G$130,6,FALSE)</f>
        <v>0.14171974522292993</v>
      </c>
      <c r="AG77" s="287">
        <f>VLOOKUP($AD77,'Look-ups'!$A$122:$G$130,7,FALSE)</f>
        <v>0.79777070063694266</v>
      </c>
      <c r="AH77" s="291">
        <f>VLOOKUP($AC77,'Look-ups'!$A$50:$AO$118,'Look-ups'!$B$133*4,FALSE)*0.277778</f>
        <v>2.5785324609781122</v>
      </c>
      <c r="AI77" s="291">
        <f>VLOOKUP($AC77,'Look-ups'!$A$50:$AO$118,'Look-ups'!$B$133*4+1,FALSE)*0.277778</f>
        <v>54.088179539021894</v>
      </c>
      <c r="AJ77" s="291">
        <f>AE77*$AH77/'Look-ups'!$B$141</f>
        <v>0.20395535888840657</v>
      </c>
      <c r="AK77" s="291">
        <f>AF77*$AH77/'Look-ups'!$B$140</f>
        <v>0.50058762112174326</v>
      </c>
      <c r="AL77" s="291">
        <f>AG77*$AH77/'Look-ups'!$B$137</f>
        <v>0.39182431390659211</v>
      </c>
      <c r="AM77" s="291">
        <f>AI77/'Look-ups'!$B$136</f>
        <v>11.386985166109872</v>
      </c>
      <c r="AN77" s="290">
        <f>AJ77*VLOOKUP($AD77,'Look-ups'!$A$123:$M$130,10,FALSE)</f>
        <v>5.535121823165922E-2</v>
      </c>
      <c r="AO77" s="290">
        <f>AK77*VLOOKUP($AD77,'Look-ups'!$A$123:$M$130,9,FALSE)</f>
        <v>0.10848134219805075</v>
      </c>
      <c r="AP77" s="290">
        <f>(AL77+AM77)*VLOOKUP($AD77,'Look-ups'!$A$123:$M$130,8,FALSE)</f>
        <v>3.7692190336052689</v>
      </c>
      <c r="AQ77" s="290">
        <f t="shared" si="2"/>
        <v>3.9330515940349788</v>
      </c>
      <c r="AR77" s="292">
        <f>AJ77*VLOOKUP($AD77,'Look-ups'!$A$123:$M$130,11,FALSE)</f>
        <v>8.8111182152891918E-4</v>
      </c>
      <c r="AS77" s="292">
        <f>AK77*VLOOKUP($AD77,'Look-ups'!$A$123:$M$130,12,FALSE)</f>
        <v>9.2865608656094722E-2</v>
      </c>
      <c r="AT77" s="292">
        <f>(AL77+AM77)*VLOOKUP($AD77,'Look-ups'!$A$123:$M$130,13,FALSE)</f>
        <v>3.0071300602482038</v>
      </c>
      <c r="AU77" s="292">
        <f t="shared" si="3"/>
        <v>3.1008767807258275</v>
      </c>
    </row>
    <row r="78" spans="1:47" x14ac:dyDescent="0.25">
      <c r="A78">
        <v>3015</v>
      </c>
      <c r="B78" t="s">
        <v>367</v>
      </c>
      <c r="C78">
        <v>2100.2723000000001</v>
      </c>
      <c r="D78">
        <v>382903</v>
      </c>
      <c r="E78">
        <v>182.31112222924617</v>
      </c>
      <c r="F78" t="s">
        <v>172</v>
      </c>
      <c r="G78" t="s">
        <v>165</v>
      </c>
      <c r="H78">
        <f>VLOOKUP(CONCATENATE($G78,"-",$F78,"-",$H$2),'Look-ups'!$O$3:$S$34,5,FALSE)*VLOOKUP(CONCATENATE($F78,"-",$H$2,"-",H$3),'Look-ups'!$I$3:$M$24,5,FALSE)</f>
        <v>201.33333333333331</v>
      </c>
      <c r="I78">
        <f>VLOOKUP(CONCATENATE($G78,"-",$F78,"-",$H$2),'Look-ups'!$O$3:$S$34,5,FALSE)*VLOOKUP(CONCATENATE($F78,"-",$H$2,"-",I$3),'Look-ups'!$I$3:$M$24,5,FALSE)</f>
        <v>302</v>
      </c>
      <c r="J78">
        <f>VLOOKUP(CONCATENATE($G78,"-",$F78,"-",$H$2),'Look-ups'!$O$3:$S$34,5,FALSE)*VLOOKUP(CONCATENATE($F78,"-",$H$2,"-",J$3),'Look-ups'!$I$3:$M$24,5,FALSE)</f>
        <v>352.33333333333337</v>
      </c>
      <c r="K78">
        <f>VLOOKUP(CONCATENATE($G78,"-",$F78,"-",$H$2),'Look-ups'!$O$3:$S$34,5,FALSE)*VLOOKUP(CONCATENATE($F78,"-",$H$2,"-",K$3),'Look-ups'!$I$3:$M$24,5,FALSE)</f>
        <v>453</v>
      </c>
      <c r="L78">
        <f>VLOOKUP(CONCATENATE($G78,"-",$F78,"-",$H$2),'Look-ups'!$O$3:$S$34,5,FALSE)*VLOOKUP(CONCATENATE($F78,"-",$H$2,"-",L$3),'Look-ups'!$I$3:$M$24,5,FALSE)</f>
        <v>503.33333333333337</v>
      </c>
      <c r="M78">
        <f>VLOOKUP(CONCATENATE($G78,"-",$F78,"-",$H$2),'Look-ups'!$O$3:$S$34,5,FALSE)*VLOOKUP(CONCATENATE($F78,"-",$H$2,"-",M$3),'Look-ups'!$I$3:$M$24,5,FALSE)</f>
        <v>553.66666666666663</v>
      </c>
      <c r="N78">
        <f>VLOOKUP(CONCATENATE($G78,"-",$F78,"-",$N$2),'Look-ups'!$O$3:$S$34,5,FALSE)*VLOOKUP(CONCATENATE($F78,"-",$N$2,"-",N$3),'Look-ups'!$I$3:$M$24,5,FALSE)</f>
        <v>218.25</v>
      </c>
      <c r="O78">
        <f>VLOOKUP(CONCATENATE($G78,"-",$F78,"-",$N$2),'Look-ups'!$O$3:$S$34,5,FALSE)*VLOOKUP(CONCATENATE($F78,"-",$N$2,"-",O$3),'Look-ups'!$I$3:$M$24,5,FALSE)</f>
        <v>218.25</v>
      </c>
      <c r="P78">
        <f>VLOOKUP(CONCATENATE($G78,"-",$F78,"-",$N$2),'Look-ups'!$O$3:$S$34,5,FALSE)*VLOOKUP(CONCATENATE($F78,"-",$N$2,"-",P$3),'Look-ups'!$I$3:$M$24,5,FALSE)</f>
        <v>291</v>
      </c>
      <c r="Q78">
        <f>VLOOKUP(CONCATENATE($G78,"-",$F78,"-",$N$2),'Look-ups'!$O$3:$S$34,5,FALSE)*VLOOKUP(CONCATENATE($F78,"-",$N$2,"-",Q$3),'Look-ups'!$I$3:$M$24,5,FALSE)</f>
        <v>374.14285714285717</v>
      </c>
      <c r="R78">
        <f>VLOOKUP(CONCATENATE($G78,"-",$F78,"-",$N$2),'Look-ups'!$O$3:$S$34,5,FALSE)*VLOOKUP(CONCATENATE($F78,"-",$N$2,"-",R$3),'Look-ups'!$I$3:$M$24,5,FALSE)</f>
        <v>426.10714285714283</v>
      </c>
      <c r="S78" s="117">
        <f>VLOOKUP(CONCATENATE($G78,"-",$F78,"-Lone Person"),'Look-ups'!$Y$4:$AG$35,5,FALSE)</f>
        <v>97.37</v>
      </c>
      <c r="T78">
        <f>VLOOKUP(CONCATENATE($G78,"-",$F78,"-Lone Person"),'Look-ups'!$Y$4:$AG$35,6,FALSE)</f>
        <v>138.03</v>
      </c>
      <c r="U78">
        <f>VLOOKUP(CONCATENATE($G78,"-",$F78,"-Lone Person"),'Look-ups'!$Y$4:$AG$35,7,FALSE)</f>
        <v>165.85000000000002</v>
      </c>
      <c r="V78">
        <f>VLOOKUP(CONCATENATE($G78,"-",$F78,"-Lone Person"),'Look-ups'!$Y$4:$AG$35,8,FALSE)</f>
        <v>203.3</v>
      </c>
      <c r="W78">
        <f>VLOOKUP(CONCATENATE($G78,"-",$F78,"-Lone Person"),'Look-ups'!$Y$4:$AG$35,9,FALSE)</f>
        <v>192.60000000000002</v>
      </c>
      <c r="X78" s="117">
        <f>VLOOKUP(CONCATENATE($G78,"-",$F78,"-Couple Only"),'Look-ups'!$Y$4:$AG$35,5,FALSE)</f>
        <v>156.22</v>
      </c>
      <c r="Y78">
        <f>VLOOKUP(CONCATENATE($G78,"-",$F78,"-Couple Only"),'Look-ups'!$Y$4:$AG$35,6,FALSE)</f>
        <v>148.73000000000002</v>
      </c>
      <c r="Z78">
        <f>VLOOKUP(CONCATENATE($G78,"-",$F78,"-Couple Only"),'Look-ups'!$Y$4:$AG$35,7,FALSE)</f>
        <v>167.99</v>
      </c>
      <c r="AA78">
        <f>VLOOKUP(CONCATENATE($G78,"-",$F78,"-Couple Only"),'Look-ups'!$Y$4:$AG$35,8,FALSE)</f>
        <v>185.11</v>
      </c>
      <c r="AB78">
        <f>VLOOKUP(CONCATENATE($G78,"-",$F78,"-Couple Only"),'Look-ups'!$Y$4:$AG$35,9,FALSE)</f>
        <v>232.19000000000003</v>
      </c>
      <c r="AC78">
        <v>10</v>
      </c>
      <c r="AD78" t="s">
        <v>165</v>
      </c>
      <c r="AE78" s="287">
        <f>VLOOKUP($AD78,'Look-ups'!$A$122:$G$130,5,FALSE)</f>
        <v>6.0509554140127389E-2</v>
      </c>
      <c r="AF78" s="287">
        <f>VLOOKUP($AD78,'Look-ups'!$A$122:$G$130,6,FALSE)</f>
        <v>0.14171974522292993</v>
      </c>
      <c r="AG78" s="287">
        <f>VLOOKUP($AD78,'Look-ups'!$A$122:$G$130,7,FALSE)</f>
        <v>0.79777070063694266</v>
      </c>
      <c r="AH78" s="291">
        <f>VLOOKUP($AC78,'Look-ups'!$A$50:$AO$118,'Look-ups'!$B$133*4,FALSE)*0.277778</f>
        <v>5.039376206978595</v>
      </c>
      <c r="AI78" s="291">
        <f>VLOOKUP($AC78,'Look-ups'!$A$50:$AO$118,'Look-ups'!$B$133*4+1,FALSE)*0.277778</f>
        <v>28.571761793021409</v>
      </c>
      <c r="AJ78" s="291">
        <f>AE78*$AH78/'Look-ups'!$B$141</f>
        <v>0.39860183977600144</v>
      </c>
      <c r="AK78" s="291">
        <f>AF78*$AH78/'Look-ups'!$B$140</f>
        <v>0.9783275508705499</v>
      </c>
      <c r="AL78" s="291">
        <f>AG78*$AH78/'Look-ups'!$B$137</f>
        <v>0.76576508331703841</v>
      </c>
      <c r="AM78" s="291">
        <f>AI78/'Look-ups'!$B$136</f>
        <v>6.0151077458992441</v>
      </c>
      <c r="AN78" s="290">
        <f>AJ78*VLOOKUP($AD78,'Look-ups'!$A$123:$M$130,10,FALSE)</f>
        <v>0.10817611040587594</v>
      </c>
      <c r="AO78" s="290">
        <f>AK78*VLOOKUP($AD78,'Look-ups'!$A$123:$M$130,9,FALSE)</f>
        <v>0.21201140689405515</v>
      </c>
      <c r="AP78" s="290">
        <f>(AL78+AM78)*VLOOKUP($AD78,'Look-ups'!$A$123:$M$130,8,FALSE)</f>
        <v>2.1698793053492107</v>
      </c>
      <c r="AQ78" s="290">
        <f t="shared" si="2"/>
        <v>2.4900668226491418</v>
      </c>
      <c r="AR78" s="292">
        <f>AJ78*VLOOKUP($AD78,'Look-ups'!$A$123:$M$130,11,FALSE)</f>
        <v>1.7220081640609199E-3</v>
      </c>
      <c r="AS78" s="292">
        <f>AK78*VLOOKUP($AD78,'Look-ups'!$A$123:$M$130,12,FALSE)</f>
        <v>0.18149266910162884</v>
      </c>
      <c r="AT78" s="292">
        <f>(AL78+AM78)*VLOOKUP($AD78,'Look-ups'!$A$123:$M$130,13,FALSE)</f>
        <v>1.7311568332989171</v>
      </c>
      <c r="AU78" s="292">
        <f t="shared" si="3"/>
        <v>1.9143715105646069</v>
      </c>
    </row>
    <row r="79" spans="1:47" x14ac:dyDescent="0.25">
      <c r="A79">
        <v>3016</v>
      </c>
      <c r="B79" t="s">
        <v>368</v>
      </c>
      <c r="C79">
        <v>728.59910000000002</v>
      </c>
      <c r="D79">
        <v>142163</v>
      </c>
      <c r="E79">
        <v>195.11827560588532</v>
      </c>
      <c r="F79" t="s">
        <v>172</v>
      </c>
      <c r="G79" t="s">
        <v>165</v>
      </c>
      <c r="H79">
        <f>VLOOKUP(CONCATENATE($G79,"-",$F79,"-",$H$2),'Look-ups'!$O$3:$S$34,5,FALSE)*VLOOKUP(CONCATENATE($F79,"-",$H$2,"-",H$3),'Look-ups'!$I$3:$M$24,5,FALSE)</f>
        <v>201.33333333333331</v>
      </c>
      <c r="I79">
        <f>VLOOKUP(CONCATENATE($G79,"-",$F79,"-",$H$2),'Look-ups'!$O$3:$S$34,5,FALSE)*VLOOKUP(CONCATENATE($F79,"-",$H$2,"-",I$3),'Look-ups'!$I$3:$M$24,5,FALSE)</f>
        <v>302</v>
      </c>
      <c r="J79">
        <f>VLOOKUP(CONCATENATE($G79,"-",$F79,"-",$H$2),'Look-ups'!$O$3:$S$34,5,FALSE)*VLOOKUP(CONCATENATE($F79,"-",$H$2,"-",J$3),'Look-ups'!$I$3:$M$24,5,FALSE)</f>
        <v>352.33333333333337</v>
      </c>
      <c r="K79">
        <f>VLOOKUP(CONCATENATE($G79,"-",$F79,"-",$H$2),'Look-ups'!$O$3:$S$34,5,FALSE)*VLOOKUP(CONCATENATE($F79,"-",$H$2,"-",K$3),'Look-ups'!$I$3:$M$24,5,FALSE)</f>
        <v>453</v>
      </c>
      <c r="L79">
        <f>VLOOKUP(CONCATENATE($G79,"-",$F79,"-",$H$2),'Look-ups'!$O$3:$S$34,5,FALSE)*VLOOKUP(CONCATENATE($F79,"-",$H$2,"-",L$3),'Look-ups'!$I$3:$M$24,5,FALSE)</f>
        <v>503.33333333333337</v>
      </c>
      <c r="M79">
        <f>VLOOKUP(CONCATENATE($G79,"-",$F79,"-",$H$2),'Look-ups'!$O$3:$S$34,5,FALSE)*VLOOKUP(CONCATENATE($F79,"-",$H$2,"-",M$3),'Look-ups'!$I$3:$M$24,5,FALSE)</f>
        <v>553.66666666666663</v>
      </c>
      <c r="N79">
        <f>VLOOKUP(CONCATENATE($G79,"-",$F79,"-",$N$2),'Look-ups'!$O$3:$S$34,5,FALSE)*VLOOKUP(CONCATENATE($F79,"-",$N$2,"-",N$3),'Look-ups'!$I$3:$M$24,5,FALSE)</f>
        <v>218.25</v>
      </c>
      <c r="O79">
        <f>VLOOKUP(CONCATENATE($G79,"-",$F79,"-",$N$2),'Look-ups'!$O$3:$S$34,5,FALSE)*VLOOKUP(CONCATENATE($F79,"-",$N$2,"-",O$3),'Look-ups'!$I$3:$M$24,5,FALSE)</f>
        <v>218.25</v>
      </c>
      <c r="P79">
        <f>VLOOKUP(CONCATENATE($G79,"-",$F79,"-",$N$2),'Look-ups'!$O$3:$S$34,5,FALSE)*VLOOKUP(CONCATENATE($F79,"-",$N$2,"-",P$3),'Look-ups'!$I$3:$M$24,5,FALSE)</f>
        <v>291</v>
      </c>
      <c r="Q79">
        <f>VLOOKUP(CONCATENATE($G79,"-",$F79,"-",$N$2),'Look-ups'!$O$3:$S$34,5,FALSE)*VLOOKUP(CONCATENATE($F79,"-",$N$2,"-",Q$3),'Look-ups'!$I$3:$M$24,5,FALSE)</f>
        <v>374.14285714285717</v>
      </c>
      <c r="R79">
        <f>VLOOKUP(CONCATENATE($G79,"-",$F79,"-",$N$2),'Look-ups'!$O$3:$S$34,5,FALSE)*VLOOKUP(CONCATENATE($F79,"-",$N$2,"-",R$3),'Look-ups'!$I$3:$M$24,5,FALSE)</f>
        <v>426.10714285714283</v>
      </c>
      <c r="S79" s="117">
        <f>VLOOKUP(CONCATENATE($G79,"-",$F79,"-Lone Person"),'Look-ups'!$Y$4:$AG$35,5,FALSE)</f>
        <v>97.37</v>
      </c>
      <c r="T79">
        <f>VLOOKUP(CONCATENATE($G79,"-",$F79,"-Lone Person"),'Look-ups'!$Y$4:$AG$35,6,FALSE)</f>
        <v>138.03</v>
      </c>
      <c r="U79">
        <f>VLOOKUP(CONCATENATE($G79,"-",$F79,"-Lone Person"),'Look-ups'!$Y$4:$AG$35,7,FALSE)</f>
        <v>165.85000000000002</v>
      </c>
      <c r="V79">
        <f>VLOOKUP(CONCATENATE($G79,"-",$F79,"-Lone Person"),'Look-ups'!$Y$4:$AG$35,8,FALSE)</f>
        <v>203.3</v>
      </c>
      <c r="W79">
        <f>VLOOKUP(CONCATENATE($G79,"-",$F79,"-Lone Person"),'Look-ups'!$Y$4:$AG$35,9,FALSE)</f>
        <v>192.60000000000002</v>
      </c>
      <c r="X79" s="117">
        <f>VLOOKUP(CONCATENATE($G79,"-",$F79,"-Couple Only"),'Look-ups'!$Y$4:$AG$35,5,FALSE)</f>
        <v>156.22</v>
      </c>
      <c r="Y79">
        <f>VLOOKUP(CONCATENATE($G79,"-",$F79,"-Couple Only"),'Look-ups'!$Y$4:$AG$35,6,FALSE)</f>
        <v>148.73000000000002</v>
      </c>
      <c r="Z79">
        <f>VLOOKUP(CONCATENATE($G79,"-",$F79,"-Couple Only"),'Look-ups'!$Y$4:$AG$35,7,FALSE)</f>
        <v>167.99</v>
      </c>
      <c r="AA79">
        <f>VLOOKUP(CONCATENATE($G79,"-",$F79,"-Couple Only"),'Look-ups'!$Y$4:$AG$35,8,FALSE)</f>
        <v>185.11</v>
      </c>
      <c r="AB79">
        <f>VLOOKUP(CONCATENATE($G79,"-",$F79,"-Couple Only"),'Look-ups'!$Y$4:$AG$35,9,FALSE)</f>
        <v>232.19000000000003</v>
      </c>
      <c r="AC79">
        <v>50</v>
      </c>
      <c r="AD79" t="s">
        <v>165</v>
      </c>
      <c r="AE79" s="287">
        <f>VLOOKUP($AD79,'Look-ups'!$A$122:$G$130,5,FALSE)</f>
        <v>6.0509554140127389E-2</v>
      </c>
      <c r="AF79" s="287">
        <f>VLOOKUP($AD79,'Look-ups'!$A$122:$G$130,6,FALSE)</f>
        <v>0.14171974522292993</v>
      </c>
      <c r="AG79" s="287">
        <f>VLOOKUP($AD79,'Look-ups'!$A$122:$G$130,7,FALSE)</f>
        <v>0.79777070063694266</v>
      </c>
      <c r="AH79" s="291">
        <f>VLOOKUP($AC79,'Look-ups'!$A$50:$AO$118,'Look-ups'!$B$133*4,FALSE)*0.277778</f>
        <v>28.613722521275179</v>
      </c>
      <c r="AI79" s="291">
        <f>VLOOKUP($AC79,'Look-ups'!$A$50:$AO$118,'Look-ups'!$B$133*4+1,FALSE)*0.277778</f>
        <v>26.386321478724824</v>
      </c>
      <c r="AJ79" s="291">
        <f>AE79*$AH79/'Look-ups'!$B$141</f>
        <v>2.2632726693486052</v>
      </c>
      <c r="AK79" s="291">
        <f>AF79*$AH79/'Look-ups'!$B$140</f>
        <v>5.5549718706777131</v>
      </c>
      <c r="AL79" s="291">
        <f>AG79*$AH79/'Look-ups'!$B$137</f>
        <v>4.3480360883102414</v>
      </c>
      <c r="AM79" s="291">
        <f>AI79/'Look-ups'!$B$136</f>
        <v>5.5550150481525948</v>
      </c>
      <c r="AN79" s="290">
        <f>AJ79*VLOOKUP($AD79,'Look-ups'!$A$123:$M$130,10,FALSE)</f>
        <v>0.6142270549871075</v>
      </c>
      <c r="AO79" s="290">
        <f>AK79*VLOOKUP($AD79,'Look-ups'!$A$123:$M$130,9,FALSE)</f>
        <v>1.2038068441508258</v>
      </c>
      <c r="AP79" s="290">
        <f>(AL79+AM79)*VLOOKUP($AD79,'Look-ups'!$A$123:$M$130,8,FALSE)</f>
        <v>3.1689763636681074</v>
      </c>
      <c r="AQ79" s="290">
        <f t="shared" si="2"/>
        <v>4.9870102628060407</v>
      </c>
      <c r="AR79" s="292">
        <f>AJ79*VLOOKUP($AD79,'Look-ups'!$A$123:$M$130,11,FALSE)</f>
        <v>9.7776117047137061E-3</v>
      </c>
      <c r="AS79" s="292">
        <f>AK79*VLOOKUP($AD79,'Look-ups'!$A$123:$M$130,12,FALSE)</f>
        <v>1.0305205763618195</v>
      </c>
      <c r="AT79" s="292">
        <f>(AL79+AM79)*VLOOKUP($AD79,'Look-ups'!$A$123:$M$130,13,FALSE)</f>
        <v>2.5282489551389622</v>
      </c>
      <c r="AU79" s="292">
        <f t="shared" si="3"/>
        <v>3.5685471432054952</v>
      </c>
    </row>
    <row r="80" spans="1:47" x14ac:dyDescent="0.25">
      <c r="A80">
        <v>3017</v>
      </c>
      <c r="B80" t="s">
        <v>190</v>
      </c>
      <c r="C80">
        <v>693.28530000000001</v>
      </c>
      <c r="D80">
        <v>179011</v>
      </c>
      <c r="E80">
        <v>258.20683057898384</v>
      </c>
      <c r="F80" t="s">
        <v>172</v>
      </c>
      <c r="G80" t="s">
        <v>165</v>
      </c>
      <c r="H80">
        <f>VLOOKUP(CONCATENATE($G80,"-",$F80,"-",$H$2),'Look-ups'!$O$3:$S$34,5,FALSE)*VLOOKUP(CONCATENATE($F80,"-",$H$2,"-",H$3),'Look-ups'!$I$3:$M$24,5,FALSE)</f>
        <v>201.33333333333331</v>
      </c>
      <c r="I80">
        <f>VLOOKUP(CONCATENATE($G80,"-",$F80,"-",$H$2),'Look-ups'!$O$3:$S$34,5,FALSE)*VLOOKUP(CONCATENATE($F80,"-",$H$2,"-",I$3),'Look-ups'!$I$3:$M$24,5,FALSE)</f>
        <v>302</v>
      </c>
      <c r="J80">
        <f>VLOOKUP(CONCATENATE($G80,"-",$F80,"-",$H$2),'Look-ups'!$O$3:$S$34,5,FALSE)*VLOOKUP(CONCATENATE($F80,"-",$H$2,"-",J$3),'Look-ups'!$I$3:$M$24,5,FALSE)</f>
        <v>352.33333333333337</v>
      </c>
      <c r="K80">
        <f>VLOOKUP(CONCATENATE($G80,"-",$F80,"-",$H$2),'Look-ups'!$O$3:$S$34,5,FALSE)*VLOOKUP(CONCATENATE($F80,"-",$H$2,"-",K$3),'Look-ups'!$I$3:$M$24,5,FALSE)</f>
        <v>453</v>
      </c>
      <c r="L80">
        <f>VLOOKUP(CONCATENATE($G80,"-",$F80,"-",$H$2),'Look-ups'!$O$3:$S$34,5,FALSE)*VLOOKUP(CONCATENATE($F80,"-",$H$2,"-",L$3),'Look-ups'!$I$3:$M$24,5,FALSE)</f>
        <v>503.33333333333337</v>
      </c>
      <c r="M80">
        <f>VLOOKUP(CONCATENATE($G80,"-",$F80,"-",$H$2),'Look-ups'!$O$3:$S$34,5,FALSE)*VLOOKUP(CONCATENATE($F80,"-",$H$2,"-",M$3),'Look-ups'!$I$3:$M$24,5,FALSE)</f>
        <v>553.66666666666663</v>
      </c>
      <c r="N80">
        <f>VLOOKUP(CONCATENATE($G80,"-",$F80,"-",$N$2),'Look-ups'!$O$3:$S$34,5,FALSE)*VLOOKUP(CONCATENATE($F80,"-",$N$2,"-",N$3),'Look-ups'!$I$3:$M$24,5,FALSE)</f>
        <v>218.25</v>
      </c>
      <c r="O80">
        <f>VLOOKUP(CONCATENATE($G80,"-",$F80,"-",$N$2),'Look-ups'!$O$3:$S$34,5,FALSE)*VLOOKUP(CONCATENATE($F80,"-",$N$2,"-",O$3),'Look-ups'!$I$3:$M$24,5,FALSE)</f>
        <v>218.25</v>
      </c>
      <c r="P80">
        <f>VLOOKUP(CONCATENATE($G80,"-",$F80,"-",$N$2),'Look-ups'!$O$3:$S$34,5,FALSE)*VLOOKUP(CONCATENATE($F80,"-",$N$2,"-",P$3),'Look-ups'!$I$3:$M$24,5,FALSE)</f>
        <v>291</v>
      </c>
      <c r="Q80">
        <f>VLOOKUP(CONCATENATE($G80,"-",$F80,"-",$N$2),'Look-ups'!$O$3:$S$34,5,FALSE)*VLOOKUP(CONCATENATE($F80,"-",$N$2,"-",Q$3),'Look-ups'!$I$3:$M$24,5,FALSE)</f>
        <v>374.14285714285717</v>
      </c>
      <c r="R80">
        <f>VLOOKUP(CONCATENATE($G80,"-",$F80,"-",$N$2),'Look-ups'!$O$3:$S$34,5,FALSE)*VLOOKUP(CONCATENATE($F80,"-",$N$2,"-",R$3),'Look-ups'!$I$3:$M$24,5,FALSE)</f>
        <v>426.10714285714283</v>
      </c>
      <c r="S80" s="117">
        <f>VLOOKUP(CONCATENATE($G80,"-",$F80,"-Lone Person"),'Look-ups'!$Y$4:$AG$35,5,FALSE)</f>
        <v>97.37</v>
      </c>
      <c r="T80">
        <f>VLOOKUP(CONCATENATE($G80,"-",$F80,"-Lone Person"),'Look-ups'!$Y$4:$AG$35,6,FALSE)</f>
        <v>138.03</v>
      </c>
      <c r="U80">
        <f>VLOOKUP(CONCATENATE($G80,"-",$F80,"-Lone Person"),'Look-ups'!$Y$4:$AG$35,7,FALSE)</f>
        <v>165.85000000000002</v>
      </c>
      <c r="V80">
        <f>VLOOKUP(CONCATENATE($G80,"-",$F80,"-Lone Person"),'Look-ups'!$Y$4:$AG$35,8,FALSE)</f>
        <v>203.3</v>
      </c>
      <c r="W80">
        <f>VLOOKUP(CONCATENATE($G80,"-",$F80,"-Lone Person"),'Look-ups'!$Y$4:$AG$35,9,FALSE)</f>
        <v>192.60000000000002</v>
      </c>
      <c r="X80" s="117">
        <f>VLOOKUP(CONCATENATE($G80,"-",$F80,"-Couple Only"),'Look-ups'!$Y$4:$AG$35,5,FALSE)</f>
        <v>156.22</v>
      </c>
      <c r="Y80">
        <f>VLOOKUP(CONCATENATE($G80,"-",$F80,"-Couple Only"),'Look-ups'!$Y$4:$AG$35,6,FALSE)</f>
        <v>148.73000000000002</v>
      </c>
      <c r="Z80">
        <f>VLOOKUP(CONCATENATE($G80,"-",$F80,"-Couple Only"),'Look-ups'!$Y$4:$AG$35,7,FALSE)</f>
        <v>167.99</v>
      </c>
      <c r="AA80">
        <f>VLOOKUP(CONCATENATE($G80,"-",$F80,"-Couple Only"),'Look-ups'!$Y$4:$AG$35,8,FALSE)</f>
        <v>185.11</v>
      </c>
      <c r="AB80">
        <f>VLOOKUP(CONCATENATE($G80,"-",$F80,"-Couple Only"),'Look-ups'!$Y$4:$AG$35,9,FALSE)</f>
        <v>232.19000000000003</v>
      </c>
      <c r="AC80">
        <v>5</v>
      </c>
      <c r="AD80" t="s">
        <v>165</v>
      </c>
      <c r="AE80" s="287">
        <f>VLOOKUP($AD80,'Look-ups'!$A$122:$G$130,5,FALSE)</f>
        <v>6.0509554140127389E-2</v>
      </c>
      <c r="AF80" s="287">
        <f>VLOOKUP($AD80,'Look-ups'!$A$122:$G$130,6,FALSE)</f>
        <v>0.14171974522292993</v>
      </c>
      <c r="AG80" s="287">
        <f>VLOOKUP($AD80,'Look-ups'!$A$122:$G$130,7,FALSE)</f>
        <v>0.79777070063694266</v>
      </c>
      <c r="AH80" s="291">
        <f>VLOOKUP($AC80,'Look-ups'!$A$50:$AO$118,'Look-ups'!$B$133*4,FALSE)*0.277778</f>
        <v>5.6978660443723093E-2</v>
      </c>
      <c r="AI80" s="291">
        <f>VLOOKUP($AC80,'Look-ups'!$A$50:$AO$118,'Look-ups'!$B$133*4+1,FALSE)*0.277778</f>
        <v>63.83196133955628</v>
      </c>
      <c r="AJ80" s="291">
        <f>AE80*$AH80/'Look-ups'!$B$141</f>
        <v>4.506867109740389E-3</v>
      </c>
      <c r="AK80" s="291">
        <f>AF80*$AH80/'Look-ups'!$B$140</f>
        <v>1.106164553592914E-2</v>
      </c>
      <c r="AL80" s="291">
        <f>AG80*$AH80/'Look-ups'!$B$137</f>
        <v>8.6582677835320802E-3</v>
      </c>
      <c r="AM80" s="291">
        <f>AI80/'Look-ups'!$B$136</f>
        <v>13.4383076504329</v>
      </c>
      <c r="AN80" s="290">
        <f>AJ80*VLOOKUP($AD80,'Look-ups'!$A$123:$M$130,10,FALSE)</f>
        <v>1.223113657282322E-3</v>
      </c>
      <c r="AO80" s="290">
        <f>AK80*VLOOKUP($AD80,'Look-ups'!$A$123:$M$130,9,FALSE)</f>
        <v>2.3971470808001323E-3</v>
      </c>
      <c r="AP80" s="290">
        <f>(AL80+AM80)*VLOOKUP($AD80,'Look-ups'!$A$123:$M$130,8,FALSE)</f>
        <v>4.3030290938292586</v>
      </c>
      <c r="AQ80" s="290">
        <f t="shared" si="2"/>
        <v>4.306649354567341</v>
      </c>
      <c r="AR80" s="292">
        <f>AJ80*VLOOKUP($AD80,'Look-ups'!$A$123:$M$130,11,FALSE)</f>
        <v>1.9470211079988718E-5</v>
      </c>
      <c r="AS80" s="292">
        <f>AK80*VLOOKUP($AD80,'Look-ups'!$A$123:$M$130,12,FALSE)</f>
        <v>2.052081198352697E-3</v>
      </c>
      <c r="AT80" s="292">
        <f>(AL80+AM80)*VLOOKUP($AD80,'Look-ups'!$A$123:$M$130,13,FALSE)</f>
        <v>3.433010398920656</v>
      </c>
      <c r="AU80" s="292">
        <f t="shared" si="3"/>
        <v>3.4350819503300887</v>
      </c>
    </row>
    <row r="81" spans="1:47" x14ac:dyDescent="0.25">
      <c r="A81">
        <v>3018</v>
      </c>
      <c r="B81" t="s">
        <v>369</v>
      </c>
      <c r="C81">
        <v>158.72309999999899</v>
      </c>
      <c r="D81">
        <v>15525</v>
      </c>
      <c r="E81">
        <v>97.811849692956471</v>
      </c>
      <c r="F81" t="s">
        <v>172</v>
      </c>
      <c r="G81" t="s">
        <v>165</v>
      </c>
      <c r="H81">
        <f>VLOOKUP(CONCATENATE($G81,"-",$F81,"-",$H$2),'Look-ups'!$O$3:$S$34,5,FALSE)*VLOOKUP(CONCATENATE($F81,"-",$H$2,"-",H$3),'Look-ups'!$I$3:$M$24,5,FALSE)</f>
        <v>201.33333333333331</v>
      </c>
      <c r="I81">
        <f>VLOOKUP(CONCATENATE($G81,"-",$F81,"-",$H$2),'Look-ups'!$O$3:$S$34,5,FALSE)*VLOOKUP(CONCATENATE($F81,"-",$H$2,"-",I$3),'Look-ups'!$I$3:$M$24,5,FALSE)</f>
        <v>302</v>
      </c>
      <c r="J81">
        <f>VLOOKUP(CONCATENATE($G81,"-",$F81,"-",$H$2),'Look-ups'!$O$3:$S$34,5,FALSE)*VLOOKUP(CONCATENATE($F81,"-",$H$2,"-",J$3),'Look-ups'!$I$3:$M$24,5,FALSE)</f>
        <v>352.33333333333337</v>
      </c>
      <c r="K81">
        <f>VLOOKUP(CONCATENATE($G81,"-",$F81,"-",$H$2),'Look-ups'!$O$3:$S$34,5,FALSE)*VLOOKUP(CONCATENATE($F81,"-",$H$2,"-",K$3),'Look-ups'!$I$3:$M$24,5,FALSE)</f>
        <v>453</v>
      </c>
      <c r="L81">
        <f>VLOOKUP(CONCATENATE($G81,"-",$F81,"-",$H$2),'Look-ups'!$O$3:$S$34,5,FALSE)*VLOOKUP(CONCATENATE($F81,"-",$H$2,"-",L$3),'Look-ups'!$I$3:$M$24,5,FALSE)</f>
        <v>503.33333333333337</v>
      </c>
      <c r="M81">
        <f>VLOOKUP(CONCATENATE($G81,"-",$F81,"-",$H$2),'Look-ups'!$O$3:$S$34,5,FALSE)*VLOOKUP(CONCATENATE($F81,"-",$H$2,"-",M$3),'Look-ups'!$I$3:$M$24,5,FALSE)</f>
        <v>553.66666666666663</v>
      </c>
      <c r="N81">
        <f>VLOOKUP(CONCATENATE($G81,"-",$F81,"-",$N$2),'Look-ups'!$O$3:$S$34,5,FALSE)*VLOOKUP(CONCATENATE($F81,"-",$N$2,"-",N$3),'Look-ups'!$I$3:$M$24,5,FALSE)</f>
        <v>218.25</v>
      </c>
      <c r="O81">
        <f>VLOOKUP(CONCATENATE($G81,"-",$F81,"-",$N$2),'Look-ups'!$O$3:$S$34,5,FALSE)*VLOOKUP(CONCATENATE($F81,"-",$N$2,"-",O$3),'Look-ups'!$I$3:$M$24,5,FALSE)</f>
        <v>218.25</v>
      </c>
      <c r="P81">
        <f>VLOOKUP(CONCATENATE($G81,"-",$F81,"-",$N$2),'Look-ups'!$O$3:$S$34,5,FALSE)*VLOOKUP(CONCATENATE($F81,"-",$N$2,"-",P$3),'Look-ups'!$I$3:$M$24,5,FALSE)</f>
        <v>291</v>
      </c>
      <c r="Q81">
        <f>VLOOKUP(CONCATENATE($G81,"-",$F81,"-",$N$2),'Look-ups'!$O$3:$S$34,5,FALSE)*VLOOKUP(CONCATENATE($F81,"-",$N$2,"-",Q$3),'Look-ups'!$I$3:$M$24,5,FALSE)</f>
        <v>374.14285714285717</v>
      </c>
      <c r="R81">
        <f>VLOOKUP(CONCATENATE($G81,"-",$F81,"-",$N$2),'Look-ups'!$O$3:$S$34,5,FALSE)*VLOOKUP(CONCATENATE($F81,"-",$N$2,"-",R$3),'Look-ups'!$I$3:$M$24,5,FALSE)</f>
        <v>426.10714285714283</v>
      </c>
      <c r="S81" s="117">
        <f>VLOOKUP(CONCATENATE($G81,"-",$F81,"-Lone Person"),'Look-ups'!$Y$4:$AG$35,5,FALSE)</f>
        <v>97.37</v>
      </c>
      <c r="T81">
        <f>VLOOKUP(CONCATENATE($G81,"-",$F81,"-Lone Person"),'Look-ups'!$Y$4:$AG$35,6,FALSE)</f>
        <v>138.03</v>
      </c>
      <c r="U81">
        <f>VLOOKUP(CONCATENATE($G81,"-",$F81,"-Lone Person"),'Look-ups'!$Y$4:$AG$35,7,FALSE)</f>
        <v>165.85000000000002</v>
      </c>
      <c r="V81">
        <f>VLOOKUP(CONCATENATE($G81,"-",$F81,"-Lone Person"),'Look-ups'!$Y$4:$AG$35,8,FALSE)</f>
        <v>203.3</v>
      </c>
      <c r="W81">
        <f>VLOOKUP(CONCATENATE($G81,"-",$F81,"-Lone Person"),'Look-ups'!$Y$4:$AG$35,9,FALSE)</f>
        <v>192.60000000000002</v>
      </c>
      <c r="X81" s="117">
        <f>VLOOKUP(CONCATENATE($G81,"-",$F81,"-Couple Only"),'Look-ups'!$Y$4:$AG$35,5,FALSE)</f>
        <v>156.22</v>
      </c>
      <c r="Y81">
        <f>VLOOKUP(CONCATENATE($G81,"-",$F81,"-Couple Only"),'Look-ups'!$Y$4:$AG$35,6,FALSE)</f>
        <v>148.73000000000002</v>
      </c>
      <c r="Z81">
        <f>VLOOKUP(CONCATENATE($G81,"-",$F81,"-Couple Only"),'Look-ups'!$Y$4:$AG$35,7,FALSE)</f>
        <v>167.99</v>
      </c>
      <c r="AA81">
        <f>VLOOKUP(CONCATENATE($G81,"-",$F81,"-Couple Only"),'Look-ups'!$Y$4:$AG$35,8,FALSE)</f>
        <v>185.11</v>
      </c>
      <c r="AB81">
        <f>VLOOKUP(CONCATENATE($G81,"-",$F81,"-Couple Only"),'Look-ups'!$Y$4:$AG$35,9,FALSE)</f>
        <v>232.19000000000003</v>
      </c>
      <c r="AC81">
        <v>9</v>
      </c>
      <c r="AD81" t="s">
        <v>165</v>
      </c>
      <c r="AE81" s="287">
        <f>VLOOKUP($AD81,'Look-ups'!$A$122:$G$130,5,FALSE)</f>
        <v>6.0509554140127389E-2</v>
      </c>
      <c r="AF81" s="287">
        <f>VLOOKUP($AD81,'Look-ups'!$A$122:$G$130,6,FALSE)</f>
        <v>0.14171974522292993</v>
      </c>
      <c r="AG81" s="287">
        <f>VLOOKUP($AD81,'Look-ups'!$A$122:$G$130,7,FALSE)</f>
        <v>0.79777070063694266</v>
      </c>
      <c r="AH81" s="291">
        <f>VLOOKUP($AC81,'Look-ups'!$A$50:$AO$118,'Look-ups'!$B$133*4,FALSE)*0.277778</f>
        <v>14.028700976231834</v>
      </c>
      <c r="AI81" s="291">
        <f>VLOOKUP($AC81,'Look-ups'!$A$50:$AO$118,'Look-ups'!$B$133*4+1,FALSE)*0.277778</f>
        <v>33.471337023768172</v>
      </c>
      <c r="AJ81" s="291">
        <f>AE81*$AH81/'Look-ups'!$B$141</f>
        <v>1.1096345637084422</v>
      </c>
      <c r="AK81" s="291">
        <f>AF81*$AH81/'Look-ups'!$B$140</f>
        <v>2.7234848330962249</v>
      </c>
      <c r="AL81" s="291">
        <f>AG81*$AH81/'Look-ups'!$B$137</f>
        <v>2.1317498298732631</v>
      </c>
      <c r="AM81" s="291">
        <f>AI81/'Look-ups'!$B$136</f>
        <v>7.0465972681617206</v>
      </c>
      <c r="AN81" s="290">
        <f>AJ81*VLOOKUP($AD81,'Look-ups'!$A$123:$M$130,10,FALSE)</f>
        <v>0.30114249131754106</v>
      </c>
      <c r="AO81" s="290">
        <f>AK81*VLOOKUP($AD81,'Look-ups'!$A$123:$M$130,9,FALSE)</f>
        <v>0.59020095121061678</v>
      </c>
      <c r="AP81" s="290">
        <f>(AL81+AM81)*VLOOKUP($AD81,'Look-ups'!$A$123:$M$130,8,FALSE)</f>
        <v>2.9370710713711947</v>
      </c>
      <c r="AQ81" s="290">
        <f t="shared" si="2"/>
        <v>3.8284145138993528</v>
      </c>
      <c r="AR81" s="292">
        <f>AJ81*VLOOKUP($AD81,'Look-ups'!$A$123:$M$130,11,FALSE)</f>
        <v>4.7937555403756004E-3</v>
      </c>
      <c r="AS81" s="292">
        <f>AK81*VLOOKUP($AD81,'Look-ups'!$A$123:$M$130,12,FALSE)</f>
        <v>0.50524237120440829</v>
      </c>
      <c r="AT81" s="292">
        <f>(AL81+AM81)*VLOOKUP($AD81,'Look-ups'!$A$123:$M$130,13,FALSE)</f>
        <v>2.3432320141283314</v>
      </c>
      <c r="AU81" s="292">
        <f t="shared" si="3"/>
        <v>2.8532681408731153</v>
      </c>
    </row>
    <row r="82" spans="1:47" x14ac:dyDescent="0.25">
      <c r="A82">
        <v>3019</v>
      </c>
      <c r="B82" t="s">
        <v>370</v>
      </c>
      <c r="C82">
        <v>78.555800000000005</v>
      </c>
      <c r="D82">
        <v>20244</v>
      </c>
      <c r="E82">
        <v>257.70216839494981</v>
      </c>
      <c r="F82" t="s">
        <v>172</v>
      </c>
      <c r="G82" t="s">
        <v>165</v>
      </c>
      <c r="H82">
        <f>VLOOKUP(CONCATENATE($G82,"-",$F82,"-",$H$2),'Look-ups'!$O$3:$S$34,5,FALSE)*VLOOKUP(CONCATENATE($F82,"-",$H$2,"-",H$3),'Look-ups'!$I$3:$M$24,5,FALSE)</f>
        <v>201.33333333333331</v>
      </c>
      <c r="I82">
        <f>VLOOKUP(CONCATENATE($G82,"-",$F82,"-",$H$2),'Look-ups'!$O$3:$S$34,5,FALSE)*VLOOKUP(CONCATENATE($F82,"-",$H$2,"-",I$3),'Look-ups'!$I$3:$M$24,5,FALSE)</f>
        <v>302</v>
      </c>
      <c r="J82">
        <f>VLOOKUP(CONCATENATE($G82,"-",$F82,"-",$H$2),'Look-ups'!$O$3:$S$34,5,FALSE)*VLOOKUP(CONCATENATE($F82,"-",$H$2,"-",J$3),'Look-ups'!$I$3:$M$24,5,FALSE)</f>
        <v>352.33333333333337</v>
      </c>
      <c r="K82">
        <f>VLOOKUP(CONCATENATE($G82,"-",$F82,"-",$H$2),'Look-ups'!$O$3:$S$34,5,FALSE)*VLOOKUP(CONCATENATE($F82,"-",$H$2,"-",K$3),'Look-ups'!$I$3:$M$24,5,FALSE)</f>
        <v>453</v>
      </c>
      <c r="L82">
        <f>VLOOKUP(CONCATENATE($G82,"-",$F82,"-",$H$2),'Look-ups'!$O$3:$S$34,5,FALSE)*VLOOKUP(CONCATENATE($F82,"-",$H$2,"-",L$3),'Look-ups'!$I$3:$M$24,5,FALSE)</f>
        <v>503.33333333333337</v>
      </c>
      <c r="M82">
        <f>VLOOKUP(CONCATENATE($G82,"-",$F82,"-",$H$2),'Look-ups'!$O$3:$S$34,5,FALSE)*VLOOKUP(CONCATENATE($F82,"-",$H$2,"-",M$3),'Look-ups'!$I$3:$M$24,5,FALSE)</f>
        <v>553.66666666666663</v>
      </c>
      <c r="N82">
        <f>VLOOKUP(CONCATENATE($G82,"-",$F82,"-",$N$2),'Look-ups'!$O$3:$S$34,5,FALSE)*VLOOKUP(CONCATENATE($F82,"-",$N$2,"-",N$3),'Look-ups'!$I$3:$M$24,5,FALSE)</f>
        <v>218.25</v>
      </c>
      <c r="O82">
        <f>VLOOKUP(CONCATENATE($G82,"-",$F82,"-",$N$2),'Look-ups'!$O$3:$S$34,5,FALSE)*VLOOKUP(CONCATENATE($F82,"-",$N$2,"-",O$3),'Look-ups'!$I$3:$M$24,5,FALSE)</f>
        <v>218.25</v>
      </c>
      <c r="P82">
        <f>VLOOKUP(CONCATENATE($G82,"-",$F82,"-",$N$2),'Look-ups'!$O$3:$S$34,5,FALSE)*VLOOKUP(CONCATENATE($F82,"-",$N$2,"-",P$3),'Look-ups'!$I$3:$M$24,5,FALSE)</f>
        <v>291</v>
      </c>
      <c r="Q82">
        <f>VLOOKUP(CONCATENATE($G82,"-",$F82,"-",$N$2),'Look-ups'!$O$3:$S$34,5,FALSE)*VLOOKUP(CONCATENATE($F82,"-",$N$2,"-",Q$3),'Look-ups'!$I$3:$M$24,5,FALSE)</f>
        <v>374.14285714285717</v>
      </c>
      <c r="R82">
        <f>VLOOKUP(CONCATENATE($G82,"-",$F82,"-",$N$2),'Look-ups'!$O$3:$S$34,5,FALSE)*VLOOKUP(CONCATENATE($F82,"-",$N$2,"-",R$3),'Look-ups'!$I$3:$M$24,5,FALSE)</f>
        <v>426.10714285714283</v>
      </c>
      <c r="S82" s="117">
        <f>VLOOKUP(CONCATENATE($G82,"-",$F82,"-Lone Person"),'Look-ups'!$Y$4:$AG$35,5,FALSE)</f>
        <v>97.37</v>
      </c>
      <c r="T82">
        <f>VLOOKUP(CONCATENATE($G82,"-",$F82,"-Lone Person"),'Look-ups'!$Y$4:$AG$35,6,FALSE)</f>
        <v>138.03</v>
      </c>
      <c r="U82">
        <f>VLOOKUP(CONCATENATE($G82,"-",$F82,"-Lone Person"),'Look-ups'!$Y$4:$AG$35,7,FALSE)</f>
        <v>165.85000000000002</v>
      </c>
      <c r="V82">
        <f>VLOOKUP(CONCATENATE($G82,"-",$F82,"-Lone Person"),'Look-ups'!$Y$4:$AG$35,8,FALSE)</f>
        <v>203.3</v>
      </c>
      <c r="W82">
        <f>VLOOKUP(CONCATENATE($G82,"-",$F82,"-Lone Person"),'Look-ups'!$Y$4:$AG$35,9,FALSE)</f>
        <v>192.60000000000002</v>
      </c>
      <c r="X82" s="117">
        <f>VLOOKUP(CONCATENATE($G82,"-",$F82,"-Couple Only"),'Look-ups'!$Y$4:$AG$35,5,FALSE)</f>
        <v>156.22</v>
      </c>
      <c r="Y82">
        <f>VLOOKUP(CONCATENATE($G82,"-",$F82,"-Couple Only"),'Look-ups'!$Y$4:$AG$35,6,FALSE)</f>
        <v>148.73000000000002</v>
      </c>
      <c r="Z82">
        <f>VLOOKUP(CONCATENATE($G82,"-",$F82,"-Couple Only"),'Look-ups'!$Y$4:$AG$35,7,FALSE)</f>
        <v>167.99</v>
      </c>
      <c r="AA82">
        <f>VLOOKUP(CONCATENATE($G82,"-",$F82,"-Couple Only"),'Look-ups'!$Y$4:$AG$35,8,FALSE)</f>
        <v>185.11</v>
      </c>
      <c r="AB82">
        <f>VLOOKUP(CONCATENATE($G82,"-",$F82,"-Couple Only"),'Look-ups'!$Y$4:$AG$35,9,FALSE)</f>
        <v>232.19000000000003</v>
      </c>
      <c r="AC82">
        <v>7</v>
      </c>
      <c r="AD82" t="s">
        <v>165</v>
      </c>
      <c r="AE82" s="287">
        <f>VLOOKUP($AD82,'Look-ups'!$A$122:$G$130,5,FALSE)</f>
        <v>6.0509554140127389E-2</v>
      </c>
      <c r="AF82" s="287">
        <f>VLOOKUP($AD82,'Look-ups'!$A$122:$G$130,6,FALSE)</f>
        <v>0.14171974522292993</v>
      </c>
      <c r="AG82" s="287">
        <f>VLOOKUP($AD82,'Look-ups'!$A$122:$G$130,7,FALSE)</f>
        <v>0.79777070063694266</v>
      </c>
      <c r="AH82" s="291">
        <f>VLOOKUP($AC82,'Look-ups'!$A$50:$AO$118,'Look-ups'!$B$133*4,FALSE)*0.277778</f>
        <v>2.5785324609781122</v>
      </c>
      <c r="AI82" s="291">
        <f>VLOOKUP($AC82,'Look-ups'!$A$50:$AO$118,'Look-ups'!$B$133*4+1,FALSE)*0.277778</f>
        <v>54.088179539021894</v>
      </c>
      <c r="AJ82" s="291">
        <f>AE82*$AH82/'Look-ups'!$B$141</f>
        <v>0.20395535888840657</v>
      </c>
      <c r="AK82" s="291">
        <f>AF82*$AH82/'Look-ups'!$B$140</f>
        <v>0.50058762112174326</v>
      </c>
      <c r="AL82" s="291">
        <f>AG82*$AH82/'Look-ups'!$B$137</f>
        <v>0.39182431390659211</v>
      </c>
      <c r="AM82" s="291">
        <f>AI82/'Look-ups'!$B$136</f>
        <v>11.386985166109872</v>
      </c>
      <c r="AN82" s="290">
        <f>AJ82*VLOOKUP($AD82,'Look-ups'!$A$123:$M$130,10,FALSE)</f>
        <v>5.535121823165922E-2</v>
      </c>
      <c r="AO82" s="290">
        <f>AK82*VLOOKUP($AD82,'Look-ups'!$A$123:$M$130,9,FALSE)</f>
        <v>0.10848134219805075</v>
      </c>
      <c r="AP82" s="290">
        <f>(AL82+AM82)*VLOOKUP($AD82,'Look-ups'!$A$123:$M$130,8,FALSE)</f>
        <v>3.7692190336052689</v>
      </c>
      <c r="AQ82" s="290">
        <f t="shared" si="2"/>
        <v>3.9330515940349788</v>
      </c>
      <c r="AR82" s="292">
        <f>AJ82*VLOOKUP($AD82,'Look-ups'!$A$123:$M$130,11,FALSE)</f>
        <v>8.8111182152891918E-4</v>
      </c>
      <c r="AS82" s="292">
        <f>AK82*VLOOKUP($AD82,'Look-ups'!$A$123:$M$130,12,FALSE)</f>
        <v>9.2865608656094722E-2</v>
      </c>
      <c r="AT82" s="292">
        <f>(AL82+AM82)*VLOOKUP($AD82,'Look-ups'!$A$123:$M$130,13,FALSE)</f>
        <v>3.0071300602482038</v>
      </c>
      <c r="AU82" s="292">
        <f t="shared" si="3"/>
        <v>3.1008767807258275</v>
      </c>
    </row>
    <row r="83" spans="1:47" x14ac:dyDescent="0.25">
      <c r="A83">
        <v>4000</v>
      </c>
      <c r="B83" t="s">
        <v>371</v>
      </c>
      <c r="C83">
        <v>980878.84779999906</v>
      </c>
      <c r="D83">
        <v>272390</v>
      </c>
      <c r="E83">
        <v>0.27769994287361804</v>
      </c>
      <c r="F83" t="s">
        <v>172</v>
      </c>
      <c r="G83" t="s">
        <v>166</v>
      </c>
      <c r="H83">
        <f>VLOOKUP(CONCATENATE($G83,"-",$F83,"-",$H$2),'Look-ups'!$O$3:$S$34,5,FALSE)*VLOOKUP(CONCATENATE($F83,"-",$H$2,"-",H$3),'Look-ups'!$I$3:$M$24,5,FALSE)</f>
        <v>116</v>
      </c>
      <c r="I83">
        <f>VLOOKUP(CONCATENATE($G83,"-",$F83,"-",$H$2),'Look-ups'!$O$3:$S$34,5,FALSE)*VLOOKUP(CONCATENATE($F83,"-",$H$2,"-",I$3),'Look-ups'!$I$3:$M$24,5,FALSE)</f>
        <v>174</v>
      </c>
      <c r="J83">
        <f>VLOOKUP(CONCATENATE($G83,"-",$F83,"-",$H$2),'Look-ups'!$O$3:$S$34,5,FALSE)*VLOOKUP(CONCATENATE($F83,"-",$H$2,"-",J$3),'Look-ups'!$I$3:$M$24,5,FALSE)</f>
        <v>203</v>
      </c>
      <c r="K83">
        <f>VLOOKUP(CONCATENATE($G83,"-",$F83,"-",$H$2),'Look-ups'!$O$3:$S$34,5,FALSE)*VLOOKUP(CONCATENATE($F83,"-",$H$2,"-",K$3),'Look-ups'!$I$3:$M$24,5,FALSE)</f>
        <v>261</v>
      </c>
      <c r="L83">
        <f>VLOOKUP(CONCATENATE($G83,"-",$F83,"-",$H$2),'Look-ups'!$O$3:$S$34,5,FALSE)*VLOOKUP(CONCATENATE($F83,"-",$H$2,"-",L$3),'Look-ups'!$I$3:$M$24,5,FALSE)</f>
        <v>290</v>
      </c>
      <c r="M83">
        <f>VLOOKUP(CONCATENATE($G83,"-",$F83,"-",$H$2),'Look-ups'!$O$3:$S$34,5,FALSE)*VLOOKUP(CONCATENATE($F83,"-",$H$2,"-",M$3),'Look-ups'!$I$3:$M$24,5,FALSE)</f>
        <v>319</v>
      </c>
      <c r="N83">
        <f>VLOOKUP(CONCATENATE($G83,"-",$F83,"-",$N$2),'Look-ups'!$O$3:$S$34,5,FALSE)*VLOOKUP(CONCATENATE($F83,"-",$N$2,"-",N$3),'Look-ups'!$I$3:$M$24,5,FALSE)</f>
        <v>155.25</v>
      </c>
      <c r="O83">
        <f>VLOOKUP(CONCATENATE($G83,"-",$F83,"-",$N$2),'Look-ups'!$O$3:$S$34,5,FALSE)*VLOOKUP(CONCATENATE($F83,"-",$N$2,"-",O$3),'Look-ups'!$I$3:$M$24,5,FALSE)</f>
        <v>155.25</v>
      </c>
      <c r="P83">
        <f>VLOOKUP(CONCATENATE($G83,"-",$F83,"-",$N$2),'Look-ups'!$O$3:$S$34,5,FALSE)*VLOOKUP(CONCATENATE($F83,"-",$N$2,"-",P$3),'Look-ups'!$I$3:$M$24,5,FALSE)</f>
        <v>207</v>
      </c>
      <c r="Q83">
        <f>VLOOKUP(CONCATENATE($G83,"-",$F83,"-",$N$2),'Look-ups'!$O$3:$S$34,5,FALSE)*VLOOKUP(CONCATENATE($F83,"-",$N$2,"-",Q$3),'Look-ups'!$I$3:$M$24,5,FALSE)</f>
        <v>266.14285714285717</v>
      </c>
      <c r="R83">
        <f>VLOOKUP(CONCATENATE($G83,"-",$F83,"-",$N$2),'Look-ups'!$O$3:$S$34,5,FALSE)*VLOOKUP(CONCATENATE($F83,"-",$N$2,"-",R$3),'Look-ups'!$I$3:$M$24,5,FALSE)</f>
        <v>303.10714285714283</v>
      </c>
      <c r="S83" s="117">
        <f>VLOOKUP(CONCATENATE($G83,"-",$F83,"-Lone Person"),'Look-ups'!$Y$4:$AG$35,5,FALSE)</f>
        <v>93.09</v>
      </c>
      <c r="T83">
        <f>VLOOKUP(CONCATENATE($G83,"-",$F83,"-Lone Person"),'Look-ups'!$Y$4:$AG$35,6,FALSE)</f>
        <v>133.75</v>
      </c>
      <c r="U83">
        <f>VLOOKUP(CONCATENATE($G83,"-",$F83,"-Lone Person"),'Look-ups'!$Y$4:$AG$35,7,FALSE)</f>
        <v>160.5</v>
      </c>
      <c r="V83">
        <f>VLOOKUP(CONCATENATE($G83,"-",$F83,"-Lone Person"),'Look-ups'!$Y$4:$AG$35,8,FALSE)</f>
        <v>195.81</v>
      </c>
      <c r="W83">
        <f>VLOOKUP(CONCATENATE($G83,"-",$F83,"-Lone Person"),'Look-ups'!$Y$4:$AG$35,9,FALSE)</f>
        <v>186.18</v>
      </c>
      <c r="X83" s="117">
        <f>VLOOKUP(CONCATENATE($G83,"-",$F83,"-Couple Only"),'Look-ups'!$Y$4:$AG$35,5,FALSE)</f>
        <v>150.87</v>
      </c>
      <c r="Y83">
        <f>VLOOKUP(CONCATENATE($G83,"-",$F83,"-Couple Only"),'Look-ups'!$Y$4:$AG$35,6,FALSE)</f>
        <v>143.38</v>
      </c>
      <c r="Z83">
        <f>VLOOKUP(CONCATENATE($G83,"-",$F83,"-Couple Only"),'Look-ups'!$Y$4:$AG$35,7,FALSE)</f>
        <v>161.57000000000002</v>
      </c>
      <c r="AA83">
        <f>VLOOKUP(CONCATENATE($G83,"-",$F83,"-Couple Only"),'Look-ups'!$Y$4:$AG$35,8,FALSE)</f>
        <v>178.69</v>
      </c>
      <c r="AB83">
        <f>VLOOKUP(CONCATENATE($G83,"-",$F83,"-Couple Only"),'Look-ups'!$Y$4:$AG$35,9,FALSE)</f>
        <v>224.70000000000002</v>
      </c>
      <c r="AC83">
        <v>43</v>
      </c>
      <c r="AD83" t="s">
        <v>166</v>
      </c>
      <c r="AE83" s="287">
        <f>VLOOKUP($AD83,'Look-ups'!$A$122:$G$130,5,FALSE)</f>
        <v>0.16871165644171782</v>
      </c>
      <c r="AF83" s="287">
        <f>VLOOKUP($AD83,'Look-ups'!$A$122:$G$130,6,FALSE)</f>
        <v>0.27607361963190191</v>
      </c>
      <c r="AG83" s="287">
        <f>VLOOKUP($AD83,'Look-ups'!$A$122:$G$130,7,FALSE)</f>
        <v>0.55521472392638038</v>
      </c>
      <c r="AH83" s="291">
        <f>VLOOKUP($AC83,'Look-ups'!$A$50:$AO$118,'Look-ups'!$B$133*4,FALSE)*0.277778</f>
        <v>13.389674133546139</v>
      </c>
      <c r="AI83" s="291">
        <f>VLOOKUP($AC83,'Look-ups'!$A$50:$AO$118,'Look-ups'!$B$133*4+1,FALSE)*0.277778</f>
        <v>48.277041866453864</v>
      </c>
      <c r="AJ83" s="291">
        <f>AE83*$AH83/'Look-ups'!$B$141</f>
        <v>2.952933467039728</v>
      </c>
      <c r="AK83" s="291">
        <f>AF83*$AH83/'Look-ups'!$B$140</f>
        <v>5.0637476763557983</v>
      </c>
      <c r="AL83" s="291">
        <f>AG83*$AH83/'Look-ups'!$B$137</f>
        <v>1.4160274719087649</v>
      </c>
      <c r="AM83" s="291">
        <f>AI83/'Look-ups'!$B$136</f>
        <v>10.163587761358707</v>
      </c>
      <c r="AN83" s="290">
        <f>AJ83*VLOOKUP($AD83,'Look-ups'!$A$123:$M$130,10,FALSE)</f>
        <v>0.80139333258272605</v>
      </c>
      <c r="AO83" s="290">
        <f>AK83*VLOOKUP($AD83,'Look-ups'!$A$123:$M$130,9,FALSE)</f>
        <v>0.93550105171881659</v>
      </c>
      <c r="AP83" s="290">
        <f>(AL83+AM83)*VLOOKUP($AD83,'Look-ups'!$A$123:$M$130,8,FALSE)</f>
        <v>3.7054768746455911</v>
      </c>
      <c r="AQ83" s="290">
        <f t="shared" si="2"/>
        <v>5.4423712589471336</v>
      </c>
      <c r="AR83" s="292">
        <f>AJ83*VLOOKUP($AD83,'Look-ups'!$A$123:$M$130,11,FALSE)</f>
        <v>1.275702977444531E-2</v>
      </c>
      <c r="AS83" s="292">
        <f>AK83*VLOOKUP($AD83,'Look-ups'!$A$123:$M$130,12,FALSE)</f>
        <v>0.93939200692160529</v>
      </c>
      <c r="AT83" s="292">
        <f>(AL83+AM83)*VLOOKUP($AD83,'Look-ups'!$A$123:$M$130,13,FALSE)</f>
        <v>0.97963544873442798</v>
      </c>
      <c r="AU83" s="292">
        <f t="shared" si="3"/>
        <v>1.9317844854304784</v>
      </c>
    </row>
    <row r="84" spans="1:47" x14ac:dyDescent="0.25">
      <c r="A84">
        <v>4001</v>
      </c>
      <c r="B84" t="s">
        <v>372</v>
      </c>
      <c r="C84">
        <v>2246.2566999999899</v>
      </c>
      <c r="D84">
        <v>1368209</v>
      </c>
      <c r="E84">
        <v>609.10625219281758</v>
      </c>
      <c r="F84" t="s">
        <v>171</v>
      </c>
      <c r="G84" t="s">
        <v>166</v>
      </c>
      <c r="H84">
        <f>VLOOKUP(CONCATENATE($G84,"-",$F84,"-",$H$2),'Look-ups'!$O$3:$S$34,5,FALSE)*VLOOKUP(CONCATENATE($F84,"-",$H$2,"-",H$3),'Look-ups'!$I$3:$M$24,5,FALSE)</f>
        <v>215.27777777777777</v>
      </c>
      <c r="I84">
        <f>VLOOKUP(CONCATENATE($G84,"-",$F84,"-",$H$2),'Look-ups'!$O$3:$S$34,5,FALSE)*VLOOKUP(CONCATENATE($F84,"-",$H$2,"-",I$3),'Look-ups'!$I$3:$M$24,5,FALSE)</f>
        <v>310</v>
      </c>
      <c r="J84">
        <f>VLOOKUP(CONCATENATE($G84,"-",$F84,"-",$H$2),'Look-ups'!$O$3:$S$34,5,FALSE)*VLOOKUP(CONCATENATE($F84,"-",$H$2,"-",J$3),'Look-ups'!$I$3:$M$24,5,FALSE)</f>
        <v>378.88888888888891</v>
      </c>
      <c r="K84">
        <f>VLOOKUP(CONCATENATE($G84,"-",$F84,"-",$H$2),'Look-ups'!$O$3:$S$34,5,FALSE)*VLOOKUP(CONCATENATE($F84,"-",$H$2,"-",K$3),'Look-ups'!$I$3:$M$24,5,FALSE)</f>
        <v>482.22222222222223</v>
      </c>
      <c r="L84">
        <f>VLOOKUP(CONCATENATE($G84,"-",$F84,"-",$H$2),'Look-ups'!$O$3:$S$34,5,FALSE)*VLOOKUP(CONCATENATE($F84,"-",$H$2,"-",L$3),'Look-ups'!$I$3:$M$24,5,FALSE)</f>
        <v>581.25</v>
      </c>
      <c r="M84">
        <f>VLOOKUP(CONCATENATE($G84,"-",$F84,"-",$H$2),'Look-ups'!$O$3:$S$34,5,FALSE)*VLOOKUP(CONCATENATE($F84,"-",$H$2,"-",M$3),'Look-ups'!$I$3:$M$24,5,FALSE)</f>
        <v>645.83333333333337</v>
      </c>
      <c r="N84">
        <f>VLOOKUP(CONCATENATE($G84,"-",$F84,"-",$N$2),'Look-ups'!$O$3:$S$34,5,FALSE)*VLOOKUP(CONCATENATE($F84,"-",$N$2,"-",N$3),'Look-ups'!$I$3:$M$24,5,FALSE)</f>
        <v>201.76000000000002</v>
      </c>
      <c r="O84">
        <f>VLOOKUP(CONCATENATE($G84,"-",$F84,"-",$N$2),'Look-ups'!$O$3:$S$34,5,FALSE)*VLOOKUP(CONCATENATE($F84,"-",$N$2,"-",O$3),'Look-ups'!$I$3:$M$24,5,FALSE)</f>
        <v>271.60000000000002</v>
      </c>
      <c r="P84">
        <f>VLOOKUP(CONCATENATE($G84,"-",$F84,"-",$N$2),'Look-ups'!$O$3:$S$34,5,FALSE)*VLOOKUP(CONCATENATE($F84,"-",$N$2,"-",P$3),'Look-ups'!$I$3:$M$24,5,FALSE)</f>
        <v>291</v>
      </c>
      <c r="Q84">
        <f>VLOOKUP(CONCATENATE($G84,"-",$F84,"-",$N$2),'Look-ups'!$O$3:$S$34,5,FALSE)*VLOOKUP(CONCATENATE($F84,"-",$N$2,"-",Q$3),'Look-ups'!$I$3:$M$24,5,FALSE)</f>
        <v>380.24</v>
      </c>
      <c r="R84">
        <f>VLOOKUP(CONCATENATE($G84,"-",$F84,"-",$N$2),'Look-ups'!$O$3:$S$34,5,FALSE)*VLOOKUP(CONCATENATE($F84,"-",$N$2,"-",R$3),'Look-ups'!$I$3:$M$24,5,FALSE)</f>
        <v>426.79999999999995</v>
      </c>
      <c r="S84" s="117">
        <f>VLOOKUP(CONCATENATE($G84,"-",$F84,"-Lone Person"),'Look-ups'!$Y$4:$AG$35,5,FALSE)</f>
        <v>97.37</v>
      </c>
      <c r="T84">
        <f>VLOOKUP(CONCATENATE($G84,"-",$F84,"-Lone Person"),'Look-ups'!$Y$4:$AG$35,6,FALSE)</f>
        <v>138.03</v>
      </c>
      <c r="U84">
        <f>VLOOKUP(CONCATENATE($G84,"-",$F84,"-Lone Person"),'Look-ups'!$Y$4:$AG$35,7,FALSE)</f>
        <v>165.85000000000002</v>
      </c>
      <c r="V84">
        <f>VLOOKUP(CONCATENATE($G84,"-",$F84,"-Lone Person"),'Look-ups'!$Y$4:$AG$35,8,FALSE)</f>
        <v>203.3</v>
      </c>
      <c r="W84">
        <f>VLOOKUP(CONCATENATE($G84,"-",$F84,"-Lone Person"),'Look-ups'!$Y$4:$AG$35,9,FALSE)</f>
        <v>192.60000000000002</v>
      </c>
      <c r="X84" s="117">
        <f>VLOOKUP(CONCATENATE($G84,"-",$F84,"-Couple Only"),'Look-ups'!$Y$4:$AG$35,5,FALSE)</f>
        <v>156.22</v>
      </c>
      <c r="Y84">
        <f>VLOOKUP(CONCATENATE($G84,"-",$F84,"-Couple Only"),'Look-ups'!$Y$4:$AG$35,6,FALSE)</f>
        <v>148.73000000000002</v>
      </c>
      <c r="Z84">
        <f>VLOOKUP(CONCATENATE($G84,"-",$F84,"-Couple Only"),'Look-ups'!$Y$4:$AG$35,7,FALSE)</f>
        <v>167.99</v>
      </c>
      <c r="AA84">
        <f>VLOOKUP(CONCATENATE($G84,"-",$F84,"-Couple Only"),'Look-ups'!$Y$4:$AG$35,8,FALSE)</f>
        <v>185.11</v>
      </c>
      <c r="AB84">
        <f>VLOOKUP(CONCATENATE($G84,"-",$F84,"-Couple Only"),'Look-ups'!$Y$4:$AG$35,9,FALSE)</f>
        <v>232.19000000000003</v>
      </c>
      <c r="AC84">
        <v>16</v>
      </c>
      <c r="AD84" t="s">
        <v>166</v>
      </c>
      <c r="AE84" s="287">
        <f>VLOOKUP($AD84,'Look-ups'!$A$122:$G$130,5,FALSE)</f>
        <v>0.16871165644171782</v>
      </c>
      <c r="AF84" s="287">
        <f>VLOOKUP($AD84,'Look-ups'!$A$122:$G$130,6,FALSE)</f>
        <v>0.27607361963190191</v>
      </c>
      <c r="AG84" s="287">
        <f>VLOOKUP($AD84,'Look-ups'!$A$122:$G$130,7,FALSE)</f>
        <v>0.55521472392638038</v>
      </c>
      <c r="AH84" s="291">
        <f>VLOOKUP($AC84,'Look-ups'!$A$50:$AO$118,'Look-ups'!$B$133*4,FALSE)*0.277778</f>
        <v>29.691521534893269</v>
      </c>
      <c r="AI84" s="291">
        <f>VLOOKUP($AC84,'Look-ups'!$A$50:$AO$118,'Look-ups'!$B$133*4+1,FALSE)*0.277778</f>
        <v>31.141860465106738</v>
      </c>
      <c r="AJ84" s="291">
        <f>AE84*$AH84/'Look-ups'!$B$141</f>
        <v>6.5481121312768371</v>
      </c>
      <c r="AK84" s="291">
        <f>AF84*$AH84/'Look-ups'!$B$140</f>
        <v>11.228829893858286</v>
      </c>
      <c r="AL84" s="291">
        <f>AG84*$AH84/'Look-ups'!$B$137</f>
        <v>3.1400323679904654</v>
      </c>
      <c r="AM84" s="291">
        <f>AI84/'Look-ups'!$B$136</f>
        <v>6.5561811505487873</v>
      </c>
      <c r="AN84" s="290">
        <f>AJ84*VLOOKUP($AD84,'Look-ups'!$A$123:$M$130,10,FALSE)</f>
        <v>1.7770848756270747</v>
      </c>
      <c r="AO84" s="290">
        <f>AK84*VLOOKUP($AD84,'Look-ups'!$A$123:$M$130,9,FALSE)</f>
        <v>2.0744679329748701</v>
      </c>
      <c r="AP84" s="290">
        <f>(AL84+AM84)*VLOOKUP($AD84,'Look-ups'!$A$123:$M$130,8,FALSE)</f>
        <v>3.1027883259325608</v>
      </c>
      <c r="AQ84" s="290">
        <f t="shared" si="2"/>
        <v>6.9543411345345056</v>
      </c>
      <c r="AR84" s="292">
        <f>AJ84*VLOOKUP($AD84,'Look-ups'!$A$123:$M$130,11,FALSE)</f>
        <v>2.8288636488937625E-2</v>
      </c>
      <c r="AS84" s="292">
        <f>AK84*VLOOKUP($AD84,'Look-ups'!$A$123:$M$130,12,FALSE)</f>
        <v>2.0830961026407371</v>
      </c>
      <c r="AT84" s="292">
        <f>(AL84+AM84)*VLOOKUP($AD84,'Look-ups'!$A$123:$M$130,13,FALSE)</f>
        <v>0.82029966366842066</v>
      </c>
      <c r="AU84" s="292">
        <f t="shared" si="3"/>
        <v>2.9316844027980951</v>
      </c>
    </row>
    <row r="85" spans="1:47" x14ac:dyDescent="0.25">
      <c r="A85">
        <v>4002</v>
      </c>
      <c r="B85" t="s">
        <v>373</v>
      </c>
      <c r="C85">
        <v>193.2878</v>
      </c>
      <c r="D85">
        <v>29446</v>
      </c>
      <c r="E85">
        <v>152.34277590204866</v>
      </c>
      <c r="F85" t="s">
        <v>172</v>
      </c>
      <c r="G85" t="s">
        <v>166</v>
      </c>
      <c r="H85">
        <f>VLOOKUP(CONCATENATE($G85,"-",$F85,"-",$H$2),'Look-ups'!$O$3:$S$34,5,FALSE)*VLOOKUP(CONCATENATE($F85,"-",$H$2,"-",H$3),'Look-ups'!$I$3:$M$24,5,FALSE)</f>
        <v>116</v>
      </c>
      <c r="I85">
        <f>VLOOKUP(CONCATENATE($G85,"-",$F85,"-",$H$2),'Look-ups'!$O$3:$S$34,5,FALSE)*VLOOKUP(CONCATENATE($F85,"-",$H$2,"-",I$3),'Look-ups'!$I$3:$M$24,5,FALSE)</f>
        <v>174</v>
      </c>
      <c r="J85">
        <f>VLOOKUP(CONCATENATE($G85,"-",$F85,"-",$H$2),'Look-ups'!$O$3:$S$34,5,FALSE)*VLOOKUP(CONCATENATE($F85,"-",$H$2,"-",J$3),'Look-ups'!$I$3:$M$24,5,FALSE)</f>
        <v>203</v>
      </c>
      <c r="K85">
        <f>VLOOKUP(CONCATENATE($G85,"-",$F85,"-",$H$2),'Look-ups'!$O$3:$S$34,5,FALSE)*VLOOKUP(CONCATENATE($F85,"-",$H$2,"-",K$3),'Look-ups'!$I$3:$M$24,5,FALSE)</f>
        <v>261</v>
      </c>
      <c r="L85">
        <f>VLOOKUP(CONCATENATE($G85,"-",$F85,"-",$H$2),'Look-ups'!$O$3:$S$34,5,FALSE)*VLOOKUP(CONCATENATE($F85,"-",$H$2,"-",L$3),'Look-ups'!$I$3:$M$24,5,FALSE)</f>
        <v>290</v>
      </c>
      <c r="M85">
        <f>VLOOKUP(CONCATENATE($G85,"-",$F85,"-",$H$2),'Look-ups'!$O$3:$S$34,5,FALSE)*VLOOKUP(CONCATENATE($F85,"-",$H$2,"-",M$3),'Look-ups'!$I$3:$M$24,5,FALSE)</f>
        <v>319</v>
      </c>
      <c r="N85">
        <f>VLOOKUP(CONCATENATE($G85,"-",$F85,"-",$N$2),'Look-ups'!$O$3:$S$34,5,FALSE)*VLOOKUP(CONCATENATE($F85,"-",$N$2,"-",N$3),'Look-ups'!$I$3:$M$24,5,FALSE)</f>
        <v>155.25</v>
      </c>
      <c r="O85">
        <f>VLOOKUP(CONCATENATE($G85,"-",$F85,"-",$N$2),'Look-ups'!$O$3:$S$34,5,FALSE)*VLOOKUP(CONCATENATE($F85,"-",$N$2,"-",O$3),'Look-ups'!$I$3:$M$24,5,FALSE)</f>
        <v>155.25</v>
      </c>
      <c r="P85">
        <f>VLOOKUP(CONCATENATE($G85,"-",$F85,"-",$N$2),'Look-ups'!$O$3:$S$34,5,FALSE)*VLOOKUP(CONCATENATE($F85,"-",$N$2,"-",P$3),'Look-ups'!$I$3:$M$24,5,FALSE)</f>
        <v>207</v>
      </c>
      <c r="Q85">
        <f>VLOOKUP(CONCATENATE($G85,"-",$F85,"-",$N$2),'Look-ups'!$O$3:$S$34,5,FALSE)*VLOOKUP(CONCATENATE($F85,"-",$N$2,"-",Q$3),'Look-ups'!$I$3:$M$24,5,FALSE)</f>
        <v>266.14285714285717</v>
      </c>
      <c r="R85">
        <f>VLOOKUP(CONCATENATE($G85,"-",$F85,"-",$N$2),'Look-ups'!$O$3:$S$34,5,FALSE)*VLOOKUP(CONCATENATE($F85,"-",$N$2,"-",R$3),'Look-ups'!$I$3:$M$24,5,FALSE)</f>
        <v>303.10714285714283</v>
      </c>
      <c r="S85" s="117">
        <f>VLOOKUP(CONCATENATE($G85,"-",$F85,"-Lone Person"),'Look-ups'!$Y$4:$AG$35,5,FALSE)</f>
        <v>93.09</v>
      </c>
      <c r="T85">
        <f>VLOOKUP(CONCATENATE($G85,"-",$F85,"-Lone Person"),'Look-ups'!$Y$4:$AG$35,6,FALSE)</f>
        <v>133.75</v>
      </c>
      <c r="U85">
        <f>VLOOKUP(CONCATENATE($G85,"-",$F85,"-Lone Person"),'Look-ups'!$Y$4:$AG$35,7,FALSE)</f>
        <v>160.5</v>
      </c>
      <c r="V85">
        <f>VLOOKUP(CONCATENATE($G85,"-",$F85,"-Lone Person"),'Look-ups'!$Y$4:$AG$35,8,FALSE)</f>
        <v>195.81</v>
      </c>
      <c r="W85">
        <f>VLOOKUP(CONCATENATE($G85,"-",$F85,"-Lone Person"),'Look-ups'!$Y$4:$AG$35,9,FALSE)</f>
        <v>186.18</v>
      </c>
      <c r="X85" s="117">
        <f>VLOOKUP(CONCATENATE($G85,"-",$F85,"-Couple Only"),'Look-ups'!$Y$4:$AG$35,5,FALSE)</f>
        <v>150.87</v>
      </c>
      <c r="Y85">
        <f>VLOOKUP(CONCATENATE($G85,"-",$F85,"-Couple Only"),'Look-ups'!$Y$4:$AG$35,6,FALSE)</f>
        <v>143.38</v>
      </c>
      <c r="Z85">
        <f>VLOOKUP(CONCATENATE($G85,"-",$F85,"-Couple Only"),'Look-ups'!$Y$4:$AG$35,7,FALSE)</f>
        <v>161.57000000000002</v>
      </c>
      <c r="AA85">
        <f>VLOOKUP(CONCATENATE($G85,"-",$F85,"-Couple Only"),'Look-ups'!$Y$4:$AG$35,8,FALSE)</f>
        <v>178.69</v>
      </c>
      <c r="AB85">
        <f>VLOOKUP(CONCATENATE($G85,"-",$F85,"-Couple Only"),'Look-ups'!$Y$4:$AG$35,9,FALSE)</f>
        <v>224.70000000000002</v>
      </c>
      <c r="AC85">
        <v>61</v>
      </c>
      <c r="AD85" t="s">
        <v>166</v>
      </c>
      <c r="AE85" s="287">
        <f>VLOOKUP($AD85,'Look-ups'!$A$122:$G$130,5,FALSE)</f>
        <v>0.16871165644171782</v>
      </c>
      <c r="AF85" s="287">
        <f>VLOOKUP($AD85,'Look-ups'!$A$122:$G$130,6,FALSE)</f>
        <v>0.27607361963190191</v>
      </c>
      <c r="AG85" s="287">
        <f>VLOOKUP($AD85,'Look-ups'!$A$122:$G$130,7,FALSE)</f>
        <v>0.55521472392638038</v>
      </c>
      <c r="AH85" s="291">
        <f>VLOOKUP($AC85,'Look-ups'!$A$50:$AO$118,'Look-ups'!$B$133*4,FALSE)*0.277778</f>
        <v>80.603299286503301</v>
      </c>
      <c r="AI85" s="291">
        <f>VLOOKUP($AC85,'Look-ups'!$A$50:$AO$118,'Look-ups'!$B$133*4+1,FALSE)*0.277778</f>
        <v>8.0078827134967003</v>
      </c>
      <c r="AJ85" s="291">
        <f>AE85*$AH85/'Look-ups'!$B$141</f>
        <v>17.776099525873864</v>
      </c>
      <c r="AK85" s="291">
        <f>AF85*$AH85/'Look-ups'!$B$140</f>
        <v>30.482800805888306</v>
      </c>
      <c r="AL85" s="291">
        <f>AG85*$AH85/'Look-ups'!$B$137</f>
        <v>8.5242168687450182</v>
      </c>
      <c r="AM85" s="291">
        <f>AI85/'Look-ups'!$B$136</f>
        <v>1.6858700449466737</v>
      </c>
      <c r="AN85" s="290">
        <f>AJ85*VLOOKUP($AD85,'Look-ups'!$A$123:$M$130,10,FALSE)</f>
        <v>4.8242358991052114</v>
      </c>
      <c r="AO85" s="290">
        <f>AK85*VLOOKUP($AD85,'Look-ups'!$A$123:$M$130,9,FALSE)</f>
        <v>5.6315389383236738</v>
      </c>
      <c r="AP85" s="290">
        <f>(AL85+AM85)*VLOOKUP($AD85,'Look-ups'!$A$123:$M$130,8,FALSE)</f>
        <v>3.2672278123813414</v>
      </c>
      <c r="AQ85" s="290">
        <f t="shared" si="2"/>
        <v>13.723002649810226</v>
      </c>
      <c r="AR85" s="292">
        <f>AJ85*VLOOKUP($AD85,'Look-ups'!$A$123:$M$130,11,FALSE)</f>
        <v>7.6794900208980943E-2</v>
      </c>
      <c r="AS85" s="292">
        <f>AK85*VLOOKUP($AD85,'Look-ups'!$A$123:$M$130,12,FALSE)</f>
        <v>5.6549617508277512</v>
      </c>
      <c r="AT85" s="292">
        <f>(AL85+AM85)*VLOOKUP($AD85,'Look-ups'!$A$123:$M$130,13,FALSE)</f>
        <v>0.86377335289831703</v>
      </c>
      <c r="AU85" s="292">
        <f t="shared" si="3"/>
        <v>6.5955300039350488</v>
      </c>
    </row>
    <row r="86" spans="1:47" x14ac:dyDescent="0.25">
      <c r="A86">
        <v>4003</v>
      </c>
      <c r="B86" t="s">
        <v>374</v>
      </c>
      <c r="C86">
        <v>97.545599999999894</v>
      </c>
      <c r="D86">
        <v>18243</v>
      </c>
      <c r="E86">
        <v>187.02022438736364</v>
      </c>
      <c r="F86" t="s">
        <v>172</v>
      </c>
      <c r="G86" t="s">
        <v>166</v>
      </c>
      <c r="H86">
        <f>VLOOKUP(CONCATENATE($G86,"-",$F86,"-",$H$2),'Look-ups'!$O$3:$S$34,5,FALSE)*VLOOKUP(CONCATENATE($F86,"-",$H$2,"-",H$3),'Look-ups'!$I$3:$M$24,5,FALSE)</f>
        <v>116</v>
      </c>
      <c r="I86">
        <f>VLOOKUP(CONCATENATE($G86,"-",$F86,"-",$H$2),'Look-ups'!$O$3:$S$34,5,FALSE)*VLOOKUP(CONCATENATE($F86,"-",$H$2,"-",I$3),'Look-ups'!$I$3:$M$24,5,FALSE)</f>
        <v>174</v>
      </c>
      <c r="J86">
        <f>VLOOKUP(CONCATENATE($G86,"-",$F86,"-",$H$2),'Look-ups'!$O$3:$S$34,5,FALSE)*VLOOKUP(CONCATENATE($F86,"-",$H$2,"-",J$3),'Look-ups'!$I$3:$M$24,5,FALSE)</f>
        <v>203</v>
      </c>
      <c r="K86">
        <f>VLOOKUP(CONCATENATE($G86,"-",$F86,"-",$H$2),'Look-ups'!$O$3:$S$34,5,FALSE)*VLOOKUP(CONCATENATE($F86,"-",$H$2,"-",K$3),'Look-ups'!$I$3:$M$24,5,FALSE)</f>
        <v>261</v>
      </c>
      <c r="L86">
        <f>VLOOKUP(CONCATENATE($G86,"-",$F86,"-",$H$2),'Look-ups'!$O$3:$S$34,5,FALSE)*VLOOKUP(CONCATENATE($F86,"-",$H$2,"-",L$3),'Look-ups'!$I$3:$M$24,5,FALSE)</f>
        <v>290</v>
      </c>
      <c r="M86">
        <f>VLOOKUP(CONCATENATE($G86,"-",$F86,"-",$H$2),'Look-ups'!$O$3:$S$34,5,FALSE)*VLOOKUP(CONCATENATE($F86,"-",$H$2,"-",M$3),'Look-ups'!$I$3:$M$24,5,FALSE)</f>
        <v>319</v>
      </c>
      <c r="N86">
        <f>VLOOKUP(CONCATENATE($G86,"-",$F86,"-",$N$2),'Look-ups'!$O$3:$S$34,5,FALSE)*VLOOKUP(CONCATENATE($F86,"-",$N$2,"-",N$3),'Look-ups'!$I$3:$M$24,5,FALSE)</f>
        <v>155.25</v>
      </c>
      <c r="O86">
        <f>VLOOKUP(CONCATENATE($G86,"-",$F86,"-",$N$2),'Look-ups'!$O$3:$S$34,5,FALSE)*VLOOKUP(CONCATENATE($F86,"-",$N$2,"-",O$3),'Look-ups'!$I$3:$M$24,5,FALSE)</f>
        <v>155.25</v>
      </c>
      <c r="P86">
        <f>VLOOKUP(CONCATENATE($G86,"-",$F86,"-",$N$2),'Look-ups'!$O$3:$S$34,5,FALSE)*VLOOKUP(CONCATENATE($F86,"-",$N$2,"-",P$3),'Look-ups'!$I$3:$M$24,5,FALSE)</f>
        <v>207</v>
      </c>
      <c r="Q86">
        <f>VLOOKUP(CONCATENATE($G86,"-",$F86,"-",$N$2),'Look-ups'!$O$3:$S$34,5,FALSE)*VLOOKUP(CONCATENATE($F86,"-",$N$2,"-",Q$3),'Look-ups'!$I$3:$M$24,5,FALSE)</f>
        <v>266.14285714285717</v>
      </c>
      <c r="R86">
        <f>VLOOKUP(CONCATENATE($G86,"-",$F86,"-",$N$2),'Look-ups'!$O$3:$S$34,5,FALSE)*VLOOKUP(CONCATENATE($F86,"-",$N$2,"-",R$3),'Look-ups'!$I$3:$M$24,5,FALSE)</f>
        <v>303.10714285714283</v>
      </c>
      <c r="S86" s="117">
        <f>VLOOKUP(CONCATENATE($G86,"-",$F86,"-Lone Person"),'Look-ups'!$Y$4:$AG$35,5,FALSE)</f>
        <v>93.09</v>
      </c>
      <c r="T86">
        <f>VLOOKUP(CONCATENATE($G86,"-",$F86,"-Lone Person"),'Look-ups'!$Y$4:$AG$35,6,FALSE)</f>
        <v>133.75</v>
      </c>
      <c r="U86">
        <f>VLOOKUP(CONCATENATE($G86,"-",$F86,"-Lone Person"),'Look-ups'!$Y$4:$AG$35,7,FALSE)</f>
        <v>160.5</v>
      </c>
      <c r="V86">
        <f>VLOOKUP(CONCATENATE($G86,"-",$F86,"-Lone Person"),'Look-ups'!$Y$4:$AG$35,8,FALSE)</f>
        <v>195.81</v>
      </c>
      <c r="W86">
        <f>VLOOKUP(CONCATENATE($G86,"-",$F86,"-Lone Person"),'Look-ups'!$Y$4:$AG$35,9,FALSE)</f>
        <v>186.18</v>
      </c>
      <c r="X86" s="117">
        <f>VLOOKUP(CONCATENATE($G86,"-",$F86,"-Couple Only"),'Look-ups'!$Y$4:$AG$35,5,FALSE)</f>
        <v>150.87</v>
      </c>
      <c r="Y86">
        <f>VLOOKUP(CONCATENATE($G86,"-",$F86,"-Couple Only"),'Look-ups'!$Y$4:$AG$35,6,FALSE)</f>
        <v>143.38</v>
      </c>
      <c r="Z86">
        <f>VLOOKUP(CONCATENATE($G86,"-",$F86,"-Couple Only"),'Look-ups'!$Y$4:$AG$35,7,FALSE)</f>
        <v>161.57000000000002</v>
      </c>
      <c r="AA86">
        <f>VLOOKUP(CONCATENATE($G86,"-",$F86,"-Couple Only"),'Look-ups'!$Y$4:$AG$35,8,FALSE)</f>
        <v>178.69</v>
      </c>
      <c r="AB86">
        <f>VLOOKUP(CONCATENATE($G86,"-",$F86,"-Couple Only"),'Look-ups'!$Y$4:$AG$35,9,FALSE)</f>
        <v>224.70000000000002</v>
      </c>
      <c r="AC86">
        <v>16</v>
      </c>
      <c r="AD86" t="s">
        <v>166</v>
      </c>
      <c r="AE86" s="287">
        <f>VLOOKUP($AD86,'Look-ups'!$A$122:$G$130,5,FALSE)</f>
        <v>0.16871165644171782</v>
      </c>
      <c r="AF86" s="287">
        <f>VLOOKUP($AD86,'Look-ups'!$A$122:$G$130,6,FALSE)</f>
        <v>0.27607361963190191</v>
      </c>
      <c r="AG86" s="287">
        <f>VLOOKUP($AD86,'Look-ups'!$A$122:$G$130,7,FALSE)</f>
        <v>0.55521472392638038</v>
      </c>
      <c r="AH86" s="291">
        <f>VLOOKUP($AC86,'Look-ups'!$A$50:$AO$118,'Look-ups'!$B$133*4,FALSE)*0.277778</f>
        <v>29.691521534893269</v>
      </c>
      <c r="AI86" s="291">
        <f>VLOOKUP($AC86,'Look-ups'!$A$50:$AO$118,'Look-ups'!$B$133*4+1,FALSE)*0.277778</f>
        <v>31.141860465106738</v>
      </c>
      <c r="AJ86" s="291">
        <f>AE86*$AH86/'Look-ups'!$B$141</f>
        <v>6.5481121312768371</v>
      </c>
      <c r="AK86" s="291">
        <f>AF86*$AH86/'Look-ups'!$B$140</f>
        <v>11.228829893858286</v>
      </c>
      <c r="AL86" s="291">
        <f>AG86*$AH86/'Look-ups'!$B$137</f>
        <v>3.1400323679904654</v>
      </c>
      <c r="AM86" s="291">
        <f>AI86/'Look-ups'!$B$136</f>
        <v>6.5561811505487873</v>
      </c>
      <c r="AN86" s="290">
        <f>AJ86*VLOOKUP($AD86,'Look-ups'!$A$123:$M$130,10,FALSE)</f>
        <v>1.7770848756270747</v>
      </c>
      <c r="AO86" s="290">
        <f>AK86*VLOOKUP($AD86,'Look-ups'!$A$123:$M$130,9,FALSE)</f>
        <v>2.0744679329748701</v>
      </c>
      <c r="AP86" s="290">
        <f>(AL86+AM86)*VLOOKUP($AD86,'Look-ups'!$A$123:$M$130,8,FALSE)</f>
        <v>3.1027883259325608</v>
      </c>
      <c r="AQ86" s="290">
        <f t="shared" si="2"/>
        <v>6.9543411345345056</v>
      </c>
      <c r="AR86" s="292">
        <f>AJ86*VLOOKUP($AD86,'Look-ups'!$A$123:$M$130,11,FALSE)</f>
        <v>2.8288636488937625E-2</v>
      </c>
      <c r="AS86" s="292">
        <f>AK86*VLOOKUP($AD86,'Look-ups'!$A$123:$M$130,12,FALSE)</f>
        <v>2.0830961026407371</v>
      </c>
      <c r="AT86" s="292">
        <f>(AL86+AM86)*VLOOKUP($AD86,'Look-ups'!$A$123:$M$130,13,FALSE)</f>
        <v>0.82029966366842066</v>
      </c>
      <c r="AU86" s="292">
        <f t="shared" si="3"/>
        <v>2.9316844027980951</v>
      </c>
    </row>
    <row r="87" spans="1:47" x14ac:dyDescent="0.25">
      <c r="A87">
        <v>4004</v>
      </c>
      <c r="B87" t="s">
        <v>375</v>
      </c>
      <c r="C87">
        <v>253.9025</v>
      </c>
      <c r="D87">
        <v>13515</v>
      </c>
      <c r="E87">
        <v>53.229093845078324</v>
      </c>
      <c r="F87" t="s">
        <v>172</v>
      </c>
      <c r="G87" t="s">
        <v>166</v>
      </c>
      <c r="H87">
        <f>VLOOKUP(CONCATENATE($G87,"-",$F87,"-",$H$2),'Look-ups'!$O$3:$S$34,5,FALSE)*VLOOKUP(CONCATENATE($F87,"-",$H$2,"-",H$3),'Look-ups'!$I$3:$M$24,5,FALSE)</f>
        <v>116</v>
      </c>
      <c r="I87">
        <f>VLOOKUP(CONCATENATE($G87,"-",$F87,"-",$H$2),'Look-ups'!$O$3:$S$34,5,FALSE)*VLOOKUP(CONCATENATE($F87,"-",$H$2,"-",I$3),'Look-ups'!$I$3:$M$24,5,FALSE)</f>
        <v>174</v>
      </c>
      <c r="J87">
        <f>VLOOKUP(CONCATENATE($G87,"-",$F87,"-",$H$2),'Look-ups'!$O$3:$S$34,5,FALSE)*VLOOKUP(CONCATENATE($F87,"-",$H$2,"-",J$3),'Look-ups'!$I$3:$M$24,5,FALSE)</f>
        <v>203</v>
      </c>
      <c r="K87">
        <f>VLOOKUP(CONCATENATE($G87,"-",$F87,"-",$H$2),'Look-ups'!$O$3:$S$34,5,FALSE)*VLOOKUP(CONCATENATE($F87,"-",$H$2,"-",K$3),'Look-ups'!$I$3:$M$24,5,FALSE)</f>
        <v>261</v>
      </c>
      <c r="L87">
        <f>VLOOKUP(CONCATENATE($G87,"-",$F87,"-",$H$2),'Look-ups'!$O$3:$S$34,5,FALSE)*VLOOKUP(CONCATENATE($F87,"-",$H$2,"-",L$3),'Look-ups'!$I$3:$M$24,5,FALSE)</f>
        <v>290</v>
      </c>
      <c r="M87">
        <f>VLOOKUP(CONCATENATE($G87,"-",$F87,"-",$H$2),'Look-ups'!$O$3:$S$34,5,FALSE)*VLOOKUP(CONCATENATE($F87,"-",$H$2,"-",M$3),'Look-ups'!$I$3:$M$24,5,FALSE)</f>
        <v>319</v>
      </c>
      <c r="N87">
        <f>VLOOKUP(CONCATENATE($G87,"-",$F87,"-",$N$2),'Look-ups'!$O$3:$S$34,5,FALSE)*VLOOKUP(CONCATENATE($F87,"-",$N$2,"-",N$3),'Look-ups'!$I$3:$M$24,5,FALSE)</f>
        <v>155.25</v>
      </c>
      <c r="O87">
        <f>VLOOKUP(CONCATENATE($G87,"-",$F87,"-",$N$2),'Look-ups'!$O$3:$S$34,5,FALSE)*VLOOKUP(CONCATENATE($F87,"-",$N$2,"-",O$3),'Look-ups'!$I$3:$M$24,5,FALSE)</f>
        <v>155.25</v>
      </c>
      <c r="P87">
        <f>VLOOKUP(CONCATENATE($G87,"-",$F87,"-",$N$2),'Look-ups'!$O$3:$S$34,5,FALSE)*VLOOKUP(CONCATENATE($F87,"-",$N$2,"-",P$3),'Look-ups'!$I$3:$M$24,5,FALSE)</f>
        <v>207</v>
      </c>
      <c r="Q87">
        <f>VLOOKUP(CONCATENATE($G87,"-",$F87,"-",$N$2),'Look-ups'!$O$3:$S$34,5,FALSE)*VLOOKUP(CONCATENATE($F87,"-",$N$2,"-",Q$3),'Look-ups'!$I$3:$M$24,5,FALSE)</f>
        <v>266.14285714285717</v>
      </c>
      <c r="R87">
        <f>VLOOKUP(CONCATENATE($G87,"-",$F87,"-",$N$2),'Look-ups'!$O$3:$S$34,5,FALSE)*VLOOKUP(CONCATENATE($F87,"-",$N$2,"-",R$3),'Look-ups'!$I$3:$M$24,5,FALSE)</f>
        <v>303.10714285714283</v>
      </c>
      <c r="S87" s="117">
        <f>VLOOKUP(CONCATENATE($G87,"-",$F87,"-Lone Person"),'Look-ups'!$Y$4:$AG$35,5,FALSE)</f>
        <v>93.09</v>
      </c>
      <c r="T87">
        <f>VLOOKUP(CONCATENATE($G87,"-",$F87,"-Lone Person"),'Look-ups'!$Y$4:$AG$35,6,FALSE)</f>
        <v>133.75</v>
      </c>
      <c r="U87">
        <f>VLOOKUP(CONCATENATE($G87,"-",$F87,"-Lone Person"),'Look-ups'!$Y$4:$AG$35,7,FALSE)</f>
        <v>160.5</v>
      </c>
      <c r="V87">
        <f>VLOOKUP(CONCATENATE($G87,"-",$F87,"-Lone Person"),'Look-ups'!$Y$4:$AG$35,8,FALSE)</f>
        <v>195.81</v>
      </c>
      <c r="W87">
        <f>VLOOKUP(CONCATENATE($G87,"-",$F87,"-Lone Person"),'Look-ups'!$Y$4:$AG$35,9,FALSE)</f>
        <v>186.18</v>
      </c>
      <c r="X87" s="117">
        <f>VLOOKUP(CONCATENATE($G87,"-",$F87,"-Couple Only"),'Look-ups'!$Y$4:$AG$35,5,FALSE)</f>
        <v>150.87</v>
      </c>
      <c r="Y87">
        <f>VLOOKUP(CONCATENATE($G87,"-",$F87,"-Couple Only"),'Look-ups'!$Y$4:$AG$35,6,FALSE)</f>
        <v>143.38</v>
      </c>
      <c r="Z87">
        <f>VLOOKUP(CONCATENATE($G87,"-",$F87,"-Couple Only"),'Look-ups'!$Y$4:$AG$35,7,FALSE)</f>
        <v>161.57000000000002</v>
      </c>
      <c r="AA87">
        <f>VLOOKUP(CONCATENATE($G87,"-",$F87,"-Couple Only"),'Look-ups'!$Y$4:$AG$35,8,FALSE)</f>
        <v>178.69</v>
      </c>
      <c r="AB87">
        <f>VLOOKUP(CONCATENATE($G87,"-",$F87,"-Couple Only"),'Look-ups'!$Y$4:$AG$35,9,FALSE)</f>
        <v>224.70000000000002</v>
      </c>
      <c r="AC87">
        <v>45</v>
      </c>
      <c r="AD87" t="s">
        <v>166</v>
      </c>
      <c r="AE87" s="287">
        <f>VLOOKUP($AD87,'Look-ups'!$A$122:$G$130,5,FALSE)</f>
        <v>0.16871165644171782</v>
      </c>
      <c r="AF87" s="287">
        <f>VLOOKUP($AD87,'Look-ups'!$A$122:$G$130,6,FALSE)</f>
        <v>0.27607361963190191</v>
      </c>
      <c r="AG87" s="287">
        <f>VLOOKUP($AD87,'Look-ups'!$A$122:$G$130,7,FALSE)</f>
        <v>0.55521472392638038</v>
      </c>
      <c r="AH87" s="291">
        <f>VLOOKUP($AC87,'Look-ups'!$A$50:$AO$118,'Look-ups'!$B$133*4,FALSE)*0.277778</f>
        <v>30.416652729523147</v>
      </c>
      <c r="AI87" s="291">
        <f>VLOOKUP($AC87,'Look-ups'!$A$50:$AO$118,'Look-ups'!$B$133*4+1,FALSE)*0.277778</f>
        <v>18.750053270476855</v>
      </c>
      <c r="AJ87" s="291">
        <f>AE87*$AH87/'Look-ups'!$B$141</f>
        <v>6.7080311966148338</v>
      </c>
      <c r="AK87" s="291">
        <f>AF87*$AH87/'Look-ups'!$B$140</f>
        <v>11.503062213871267</v>
      </c>
      <c r="AL87" s="291">
        <f>AG87*$AH87/'Look-ups'!$B$137</f>
        <v>3.2167187519974814</v>
      </c>
      <c r="AM87" s="291">
        <f>AI87/'Look-ups'!$B$136</f>
        <v>3.9473796358898641</v>
      </c>
      <c r="AN87" s="290">
        <f>AJ87*VLOOKUP($AD87,'Look-ups'!$A$123:$M$130,10,FALSE)</f>
        <v>1.8204851330813032</v>
      </c>
      <c r="AO87" s="290">
        <f>AK87*VLOOKUP($AD87,'Look-ups'!$A$123:$M$130,9,FALSE)</f>
        <v>2.1251309280892046</v>
      </c>
      <c r="AP87" s="290">
        <f>(AL87+AM87)*VLOOKUP($AD87,'Look-ups'!$A$123:$M$130,8,FALSE)</f>
        <v>2.2925114841239504</v>
      </c>
      <c r="AQ87" s="290">
        <f t="shared" si="2"/>
        <v>6.2381275452944589</v>
      </c>
      <c r="AR87" s="292">
        <f>AJ87*VLOOKUP($AD87,'Look-ups'!$A$123:$M$130,11,FALSE)</f>
        <v>2.8979506195549554E-2</v>
      </c>
      <c r="AS87" s="292">
        <f>AK87*VLOOKUP($AD87,'Look-ups'!$A$123:$M$130,12,FALSE)</f>
        <v>2.1339698163256884</v>
      </c>
      <c r="AT87" s="292">
        <f>(AL87+AM87)*VLOOKUP($AD87,'Look-ups'!$A$123:$M$130,13,FALSE)</f>
        <v>0.60608272361526938</v>
      </c>
      <c r="AU87" s="292">
        <f t="shared" si="3"/>
        <v>2.7690320461365072</v>
      </c>
    </row>
    <row r="88" spans="1:47" x14ac:dyDescent="0.25">
      <c r="A88">
        <v>4005</v>
      </c>
      <c r="B88" t="s">
        <v>376</v>
      </c>
      <c r="C88">
        <v>136.283099999999</v>
      </c>
      <c r="D88">
        <v>16307</v>
      </c>
      <c r="E88">
        <v>119.65533510758209</v>
      </c>
      <c r="F88" t="s">
        <v>172</v>
      </c>
      <c r="G88" t="s">
        <v>166</v>
      </c>
      <c r="H88">
        <f>VLOOKUP(CONCATENATE($G88,"-",$F88,"-",$H$2),'Look-ups'!$O$3:$S$34,5,FALSE)*VLOOKUP(CONCATENATE($F88,"-",$H$2,"-",H$3),'Look-ups'!$I$3:$M$24,5,FALSE)</f>
        <v>116</v>
      </c>
      <c r="I88">
        <f>VLOOKUP(CONCATENATE($G88,"-",$F88,"-",$H$2),'Look-ups'!$O$3:$S$34,5,FALSE)*VLOOKUP(CONCATENATE($F88,"-",$H$2,"-",I$3),'Look-ups'!$I$3:$M$24,5,FALSE)</f>
        <v>174</v>
      </c>
      <c r="J88">
        <f>VLOOKUP(CONCATENATE($G88,"-",$F88,"-",$H$2),'Look-ups'!$O$3:$S$34,5,FALSE)*VLOOKUP(CONCATENATE($F88,"-",$H$2,"-",J$3),'Look-ups'!$I$3:$M$24,5,FALSE)</f>
        <v>203</v>
      </c>
      <c r="K88">
        <f>VLOOKUP(CONCATENATE($G88,"-",$F88,"-",$H$2),'Look-ups'!$O$3:$S$34,5,FALSE)*VLOOKUP(CONCATENATE($F88,"-",$H$2,"-",K$3),'Look-ups'!$I$3:$M$24,5,FALSE)</f>
        <v>261</v>
      </c>
      <c r="L88">
        <f>VLOOKUP(CONCATENATE($G88,"-",$F88,"-",$H$2),'Look-ups'!$O$3:$S$34,5,FALSE)*VLOOKUP(CONCATENATE($F88,"-",$H$2,"-",L$3),'Look-ups'!$I$3:$M$24,5,FALSE)</f>
        <v>290</v>
      </c>
      <c r="M88">
        <f>VLOOKUP(CONCATENATE($G88,"-",$F88,"-",$H$2),'Look-ups'!$O$3:$S$34,5,FALSE)*VLOOKUP(CONCATENATE($F88,"-",$H$2,"-",M$3),'Look-ups'!$I$3:$M$24,5,FALSE)</f>
        <v>319</v>
      </c>
      <c r="N88">
        <f>VLOOKUP(CONCATENATE($G88,"-",$F88,"-",$N$2),'Look-ups'!$O$3:$S$34,5,FALSE)*VLOOKUP(CONCATENATE($F88,"-",$N$2,"-",N$3),'Look-ups'!$I$3:$M$24,5,FALSE)</f>
        <v>155.25</v>
      </c>
      <c r="O88">
        <f>VLOOKUP(CONCATENATE($G88,"-",$F88,"-",$N$2),'Look-ups'!$O$3:$S$34,5,FALSE)*VLOOKUP(CONCATENATE($F88,"-",$N$2,"-",O$3),'Look-ups'!$I$3:$M$24,5,FALSE)</f>
        <v>155.25</v>
      </c>
      <c r="P88">
        <f>VLOOKUP(CONCATENATE($G88,"-",$F88,"-",$N$2),'Look-ups'!$O$3:$S$34,5,FALSE)*VLOOKUP(CONCATENATE($F88,"-",$N$2,"-",P$3),'Look-ups'!$I$3:$M$24,5,FALSE)</f>
        <v>207</v>
      </c>
      <c r="Q88">
        <f>VLOOKUP(CONCATENATE($G88,"-",$F88,"-",$N$2),'Look-ups'!$O$3:$S$34,5,FALSE)*VLOOKUP(CONCATENATE($F88,"-",$N$2,"-",Q$3),'Look-ups'!$I$3:$M$24,5,FALSE)</f>
        <v>266.14285714285717</v>
      </c>
      <c r="R88">
        <f>VLOOKUP(CONCATENATE($G88,"-",$F88,"-",$N$2),'Look-ups'!$O$3:$S$34,5,FALSE)*VLOOKUP(CONCATENATE($F88,"-",$N$2,"-",R$3),'Look-ups'!$I$3:$M$24,5,FALSE)</f>
        <v>303.10714285714283</v>
      </c>
      <c r="S88" s="117">
        <f>VLOOKUP(CONCATENATE($G88,"-",$F88,"-Lone Person"),'Look-ups'!$Y$4:$AG$35,5,FALSE)</f>
        <v>93.09</v>
      </c>
      <c r="T88">
        <f>VLOOKUP(CONCATENATE($G88,"-",$F88,"-Lone Person"),'Look-ups'!$Y$4:$AG$35,6,FALSE)</f>
        <v>133.75</v>
      </c>
      <c r="U88">
        <f>VLOOKUP(CONCATENATE($G88,"-",$F88,"-Lone Person"),'Look-ups'!$Y$4:$AG$35,7,FALSE)</f>
        <v>160.5</v>
      </c>
      <c r="V88">
        <f>VLOOKUP(CONCATENATE($G88,"-",$F88,"-Lone Person"),'Look-ups'!$Y$4:$AG$35,8,FALSE)</f>
        <v>195.81</v>
      </c>
      <c r="W88">
        <f>VLOOKUP(CONCATENATE($G88,"-",$F88,"-Lone Person"),'Look-ups'!$Y$4:$AG$35,9,FALSE)</f>
        <v>186.18</v>
      </c>
      <c r="X88" s="117">
        <f>VLOOKUP(CONCATENATE($G88,"-",$F88,"-Couple Only"),'Look-ups'!$Y$4:$AG$35,5,FALSE)</f>
        <v>150.87</v>
      </c>
      <c r="Y88">
        <f>VLOOKUP(CONCATENATE($G88,"-",$F88,"-Couple Only"),'Look-ups'!$Y$4:$AG$35,6,FALSE)</f>
        <v>143.38</v>
      </c>
      <c r="Z88">
        <f>VLOOKUP(CONCATENATE($G88,"-",$F88,"-Couple Only"),'Look-ups'!$Y$4:$AG$35,7,FALSE)</f>
        <v>161.57000000000002</v>
      </c>
      <c r="AA88">
        <f>VLOOKUP(CONCATENATE($G88,"-",$F88,"-Couple Only"),'Look-ups'!$Y$4:$AG$35,8,FALSE)</f>
        <v>178.69</v>
      </c>
      <c r="AB88">
        <f>VLOOKUP(CONCATENATE($G88,"-",$F88,"-Couple Only"),'Look-ups'!$Y$4:$AG$35,9,FALSE)</f>
        <v>224.70000000000002</v>
      </c>
      <c r="AC88">
        <v>16</v>
      </c>
      <c r="AD88" t="s">
        <v>166</v>
      </c>
      <c r="AE88" s="287">
        <f>VLOOKUP($AD88,'Look-ups'!$A$122:$G$130,5,FALSE)</f>
        <v>0.16871165644171782</v>
      </c>
      <c r="AF88" s="287">
        <f>VLOOKUP($AD88,'Look-ups'!$A$122:$G$130,6,FALSE)</f>
        <v>0.27607361963190191</v>
      </c>
      <c r="AG88" s="287">
        <f>VLOOKUP($AD88,'Look-ups'!$A$122:$G$130,7,FALSE)</f>
        <v>0.55521472392638038</v>
      </c>
      <c r="AH88" s="291">
        <f>VLOOKUP($AC88,'Look-ups'!$A$50:$AO$118,'Look-ups'!$B$133*4,FALSE)*0.277778</f>
        <v>29.691521534893269</v>
      </c>
      <c r="AI88" s="291">
        <f>VLOOKUP($AC88,'Look-ups'!$A$50:$AO$118,'Look-ups'!$B$133*4+1,FALSE)*0.277778</f>
        <v>31.141860465106738</v>
      </c>
      <c r="AJ88" s="291">
        <f>AE88*$AH88/'Look-ups'!$B$141</f>
        <v>6.5481121312768371</v>
      </c>
      <c r="AK88" s="291">
        <f>AF88*$AH88/'Look-ups'!$B$140</f>
        <v>11.228829893858286</v>
      </c>
      <c r="AL88" s="291">
        <f>AG88*$AH88/'Look-ups'!$B$137</f>
        <v>3.1400323679904654</v>
      </c>
      <c r="AM88" s="291">
        <f>AI88/'Look-ups'!$B$136</f>
        <v>6.5561811505487873</v>
      </c>
      <c r="AN88" s="290">
        <f>AJ88*VLOOKUP($AD88,'Look-ups'!$A$123:$M$130,10,FALSE)</f>
        <v>1.7770848756270747</v>
      </c>
      <c r="AO88" s="290">
        <f>AK88*VLOOKUP($AD88,'Look-ups'!$A$123:$M$130,9,FALSE)</f>
        <v>2.0744679329748701</v>
      </c>
      <c r="AP88" s="290">
        <f>(AL88+AM88)*VLOOKUP($AD88,'Look-ups'!$A$123:$M$130,8,FALSE)</f>
        <v>3.1027883259325608</v>
      </c>
      <c r="AQ88" s="290">
        <f t="shared" si="2"/>
        <v>6.9543411345345056</v>
      </c>
      <c r="AR88" s="292">
        <f>AJ88*VLOOKUP($AD88,'Look-ups'!$A$123:$M$130,11,FALSE)</f>
        <v>2.8288636488937625E-2</v>
      </c>
      <c r="AS88" s="292">
        <f>AK88*VLOOKUP($AD88,'Look-ups'!$A$123:$M$130,12,FALSE)</f>
        <v>2.0830961026407371</v>
      </c>
      <c r="AT88" s="292">
        <f>(AL88+AM88)*VLOOKUP($AD88,'Look-ups'!$A$123:$M$130,13,FALSE)</f>
        <v>0.82029966366842066</v>
      </c>
      <c r="AU88" s="292">
        <f t="shared" si="3"/>
        <v>2.9316844027980951</v>
      </c>
    </row>
    <row r="89" spans="1:47" x14ac:dyDescent="0.25">
      <c r="A89">
        <v>4006</v>
      </c>
      <c r="B89" t="s">
        <v>377</v>
      </c>
      <c r="C89">
        <v>75.2928</v>
      </c>
      <c r="D89">
        <v>13896</v>
      </c>
      <c r="E89">
        <v>184.55947979089635</v>
      </c>
      <c r="F89" t="s">
        <v>172</v>
      </c>
      <c r="G89" t="s">
        <v>166</v>
      </c>
      <c r="H89">
        <f>VLOOKUP(CONCATENATE($G89,"-",$F89,"-",$H$2),'Look-ups'!$O$3:$S$34,5,FALSE)*VLOOKUP(CONCATENATE($F89,"-",$H$2,"-",H$3),'Look-ups'!$I$3:$M$24,5,FALSE)</f>
        <v>116</v>
      </c>
      <c r="I89">
        <f>VLOOKUP(CONCATENATE($G89,"-",$F89,"-",$H$2),'Look-ups'!$O$3:$S$34,5,FALSE)*VLOOKUP(CONCATENATE($F89,"-",$H$2,"-",I$3),'Look-ups'!$I$3:$M$24,5,FALSE)</f>
        <v>174</v>
      </c>
      <c r="J89">
        <f>VLOOKUP(CONCATENATE($G89,"-",$F89,"-",$H$2),'Look-ups'!$O$3:$S$34,5,FALSE)*VLOOKUP(CONCATENATE($F89,"-",$H$2,"-",J$3),'Look-ups'!$I$3:$M$24,5,FALSE)</f>
        <v>203</v>
      </c>
      <c r="K89">
        <f>VLOOKUP(CONCATENATE($G89,"-",$F89,"-",$H$2),'Look-ups'!$O$3:$S$34,5,FALSE)*VLOOKUP(CONCATENATE($F89,"-",$H$2,"-",K$3),'Look-ups'!$I$3:$M$24,5,FALSE)</f>
        <v>261</v>
      </c>
      <c r="L89">
        <f>VLOOKUP(CONCATENATE($G89,"-",$F89,"-",$H$2),'Look-ups'!$O$3:$S$34,5,FALSE)*VLOOKUP(CONCATENATE($F89,"-",$H$2,"-",L$3),'Look-ups'!$I$3:$M$24,5,FALSE)</f>
        <v>290</v>
      </c>
      <c r="M89">
        <f>VLOOKUP(CONCATENATE($G89,"-",$F89,"-",$H$2),'Look-ups'!$O$3:$S$34,5,FALSE)*VLOOKUP(CONCATENATE($F89,"-",$H$2,"-",M$3),'Look-ups'!$I$3:$M$24,5,FALSE)</f>
        <v>319</v>
      </c>
      <c r="N89">
        <f>VLOOKUP(CONCATENATE($G89,"-",$F89,"-",$N$2),'Look-ups'!$O$3:$S$34,5,FALSE)*VLOOKUP(CONCATENATE($F89,"-",$N$2,"-",N$3),'Look-ups'!$I$3:$M$24,5,FALSE)</f>
        <v>155.25</v>
      </c>
      <c r="O89">
        <f>VLOOKUP(CONCATENATE($G89,"-",$F89,"-",$N$2),'Look-ups'!$O$3:$S$34,5,FALSE)*VLOOKUP(CONCATENATE($F89,"-",$N$2,"-",O$3),'Look-ups'!$I$3:$M$24,5,FALSE)</f>
        <v>155.25</v>
      </c>
      <c r="P89">
        <f>VLOOKUP(CONCATENATE($G89,"-",$F89,"-",$N$2),'Look-ups'!$O$3:$S$34,5,FALSE)*VLOOKUP(CONCATENATE($F89,"-",$N$2,"-",P$3),'Look-ups'!$I$3:$M$24,5,FALSE)</f>
        <v>207</v>
      </c>
      <c r="Q89">
        <f>VLOOKUP(CONCATENATE($G89,"-",$F89,"-",$N$2),'Look-ups'!$O$3:$S$34,5,FALSE)*VLOOKUP(CONCATENATE($F89,"-",$N$2,"-",Q$3),'Look-ups'!$I$3:$M$24,5,FALSE)</f>
        <v>266.14285714285717</v>
      </c>
      <c r="R89">
        <f>VLOOKUP(CONCATENATE($G89,"-",$F89,"-",$N$2),'Look-ups'!$O$3:$S$34,5,FALSE)*VLOOKUP(CONCATENATE($F89,"-",$N$2,"-",R$3),'Look-ups'!$I$3:$M$24,5,FALSE)</f>
        <v>303.10714285714283</v>
      </c>
      <c r="S89" s="117">
        <f>VLOOKUP(CONCATENATE($G89,"-",$F89,"-Lone Person"),'Look-ups'!$Y$4:$AG$35,5,FALSE)</f>
        <v>93.09</v>
      </c>
      <c r="T89">
        <f>VLOOKUP(CONCATENATE($G89,"-",$F89,"-Lone Person"),'Look-ups'!$Y$4:$AG$35,6,FALSE)</f>
        <v>133.75</v>
      </c>
      <c r="U89">
        <f>VLOOKUP(CONCATENATE($G89,"-",$F89,"-Lone Person"),'Look-ups'!$Y$4:$AG$35,7,FALSE)</f>
        <v>160.5</v>
      </c>
      <c r="V89">
        <f>VLOOKUP(CONCATENATE($G89,"-",$F89,"-Lone Person"),'Look-ups'!$Y$4:$AG$35,8,FALSE)</f>
        <v>195.81</v>
      </c>
      <c r="W89">
        <f>VLOOKUP(CONCATENATE($G89,"-",$F89,"-Lone Person"),'Look-ups'!$Y$4:$AG$35,9,FALSE)</f>
        <v>186.18</v>
      </c>
      <c r="X89" s="117">
        <f>VLOOKUP(CONCATENATE($G89,"-",$F89,"-Couple Only"),'Look-ups'!$Y$4:$AG$35,5,FALSE)</f>
        <v>150.87</v>
      </c>
      <c r="Y89">
        <f>VLOOKUP(CONCATENATE($G89,"-",$F89,"-Couple Only"),'Look-ups'!$Y$4:$AG$35,6,FALSE)</f>
        <v>143.38</v>
      </c>
      <c r="Z89">
        <f>VLOOKUP(CONCATENATE($G89,"-",$F89,"-Couple Only"),'Look-ups'!$Y$4:$AG$35,7,FALSE)</f>
        <v>161.57000000000002</v>
      </c>
      <c r="AA89">
        <f>VLOOKUP(CONCATENATE($G89,"-",$F89,"-Couple Only"),'Look-ups'!$Y$4:$AG$35,8,FALSE)</f>
        <v>178.69</v>
      </c>
      <c r="AB89">
        <f>VLOOKUP(CONCATENATE($G89,"-",$F89,"-Couple Only"),'Look-ups'!$Y$4:$AG$35,9,FALSE)</f>
        <v>224.70000000000002</v>
      </c>
      <c r="AC89">
        <v>27</v>
      </c>
      <c r="AD89" t="s">
        <v>166</v>
      </c>
      <c r="AE89" s="287">
        <f>VLOOKUP($AD89,'Look-ups'!$A$122:$G$130,5,FALSE)</f>
        <v>0.16871165644171782</v>
      </c>
      <c r="AF89" s="287">
        <f>VLOOKUP($AD89,'Look-ups'!$A$122:$G$130,6,FALSE)</f>
        <v>0.27607361963190191</v>
      </c>
      <c r="AG89" s="287">
        <f>VLOOKUP($AD89,'Look-ups'!$A$122:$G$130,7,FALSE)</f>
        <v>0.55521472392638038</v>
      </c>
      <c r="AH89" s="291">
        <f>VLOOKUP($AC89,'Look-ups'!$A$50:$AO$118,'Look-ups'!$B$133*4,FALSE)*0.277778</f>
        <v>41.490850904412511</v>
      </c>
      <c r="AI89" s="291">
        <f>VLOOKUP($AC89,'Look-ups'!$A$50:$AO$118,'Look-ups'!$B$133*4+1,FALSE)*0.277778</f>
        <v>31.564763095587505</v>
      </c>
      <c r="AJ89" s="291">
        <f>AE89*$AH89/'Look-ups'!$B$141</f>
        <v>9.1503139650454646</v>
      </c>
      <c r="AK89" s="291">
        <f>AF89*$AH89/'Look-ups'!$B$140</f>
        <v>15.69113615176539</v>
      </c>
      <c r="AL89" s="291">
        <f>AG89*$AH89/'Look-ups'!$B$137</f>
        <v>4.3878726343550483</v>
      </c>
      <c r="AM89" s="291">
        <f>AI89/'Look-ups'!$B$136</f>
        <v>6.6452132832815805</v>
      </c>
      <c r="AN89" s="290">
        <f>AJ89*VLOOKUP($AD89,'Look-ups'!$A$123:$M$130,10,FALSE)</f>
        <v>2.4832935399581717</v>
      </c>
      <c r="AO89" s="290">
        <f>AK89*VLOOKUP($AD89,'Look-ups'!$A$123:$M$130,9,FALSE)</f>
        <v>2.8988558101306663</v>
      </c>
      <c r="AP89" s="290">
        <f>(AL89+AM89)*VLOOKUP($AD89,'Look-ups'!$A$123:$M$130,8,FALSE)</f>
        <v>3.5305874936437216</v>
      </c>
      <c r="AQ89" s="290">
        <f t="shared" si="2"/>
        <v>8.91273684373256</v>
      </c>
      <c r="AR89" s="292">
        <f>AJ89*VLOOKUP($AD89,'Look-ups'!$A$123:$M$130,11,FALSE)</f>
        <v>3.95304631819655E-2</v>
      </c>
      <c r="AS89" s="292">
        <f>AK89*VLOOKUP($AD89,'Look-ups'!$A$123:$M$130,12,FALSE)</f>
        <v>2.9109127907998364</v>
      </c>
      <c r="AT89" s="292">
        <f>(AL89+AM89)*VLOOKUP($AD89,'Look-ups'!$A$123:$M$130,13,FALSE)</f>
        <v>0.93339906863205879</v>
      </c>
      <c r="AU89" s="292">
        <f t="shared" si="3"/>
        <v>3.8838423226138605</v>
      </c>
    </row>
    <row r="90" spans="1:47" x14ac:dyDescent="0.25">
      <c r="A90">
        <v>4007</v>
      </c>
      <c r="B90" t="s">
        <v>378</v>
      </c>
      <c r="C90">
        <v>309.13330000000002</v>
      </c>
      <c r="D90">
        <v>28363</v>
      </c>
      <c r="E90">
        <v>91.750063807425462</v>
      </c>
      <c r="F90" t="s">
        <v>172</v>
      </c>
      <c r="G90" t="s">
        <v>166</v>
      </c>
      <c r="H90">
        <f>VLOOKUP(CONCATENATE($G90,"-",$F90,"-",$H$2),'Look-ups'!$O$3:$S$34,5,FALSE)*VLOOKUP(CONCATENATE($F90,"-",$H$2,"-",H$3),'Look-ups'!$I$3:$M$24,5,FALSE)</f>
        <v>116</v>
      </c>
      <c r="I90">
        <f>VLOOKUP(CONCATENATE($G90,"-",$F90,"-",$H$2),'Look-ups'!$O$3:$S$34,5,FALSE)*VLOOKUP(CONCATENATE($F90,"-",$H$2,"-",I$3),'Look-ups'!$I$3:$M$24,5,FALSE)</f>
        <v>174</v>
      </c>
      <c r="J90">
        <f>VLOOKUP(CONCATENATE($G90,"-",$F90,"-",$H$2),'Look-ups'!$O$3:$S$34,5,FALSE)*VLOOKUP(CONCATENATE($F90,"-",$H$2,"-",J$3),'Look-ups'!$I$3:$M$24,5,FALSE)</f>
        <v>203</v>
      </c>
      <c r="K90">
        <f>VLOOKUP(CONCATENATE($G90,"-",$F90,"-",$H$2),'Look-ups'!$O$3:$S$34,5,FALSE)*VLOOKUP(CONCATENATE($F90,"-",$H$2,"-",K$3),'Look-ups'!$I$3:$M$24,5,FALSE)</f>
        <v>261</v>
      </c>
      <c r="L90">
        <f>VLOOKUP(CONCATENATE($G90,"-",$F90,"-",$H$2),'Look-ups'!$O$3:$S$34,5,FALSE)*VLOOKUP(CONCATENATE($F90,"-",$H$2,"-",L$3),'Look-ups'!$I$3:$M$24,5,FALSE)</f>
        <v>290</v>
      </c>
      <c r="M90">
        <f>VLOOKUP(CONCATENATE($G90,"-",$F90,"-",$H$2),'Look-ups'!$O$3:$S$34,5,FALSE)*VLOOKUP(CONCATENATE($F90,"-",$H$2,"-",M$3),'Look-ups'!$I$3:$M$24,5,FALSE)</f>
        <v>319</v>
      </c>
      <c r="N90">
        <f>VLOOKUP(CONCATENATE($G90,"-",$F90,"-",$N$2),'Look-ups'!$O$3:$S$34,5,FALSE)*VLOOKUP(CONCATENATE($F90,"-",$N$2,"-",N$3),'Look-ups'!$I$3:$M$24,5,FALSE)</f>
        <v>155.25</v>
      </c>
      <c r="O90">
        <f>VLOOKUP(CONCATENATE($G90,"-",$F90,"-",$N$2),'Look-ups'!$O$3:$S$34,5,FALSE)*VLOOKUP(CONCATENATE($F90,"-",$N$2,"-",O$3),'Look-ups'!$I$3:$M$24,5,FALSE)</f>
        <v>155.25</v>
      </c>
      <c r="P90">
        <f>VLOOKUP(CONCATENATE($G90,"-",$F90,"-",$N$2),'Look-ups'!$O$3:$S$34,5,FALSE)*VLOOKUP(CONCATENATE($F90,"-",$N$2,"-",P$3),'Look-ups'!$I$3:$M$24,5,FALSE)</f>
        <v>207</v>
      </c>
      <c r="Q90">
        <f>VLOOKUP(CONCATENATE($G90,"-",$F90,"-",$N$2),'Look-ups'!$O$3:$S$34,5,FALSE)*VLOOKUP(CONCATENATE($F90,"-",$N$2,"-",Q$3),'Look-ups'!$I$3:$M$24,5,FALSE)</f>
        <v>266.14285714285717</v>
      </c>
      <c r="R90">
        <f>VLOOKUP(CONCATENATE($G90,"-",$F90,"-",$N$2),'Look-ups'!$O$3:$S$34,5,FALSE)*VLOOKUP(CONCATENATE($F90,"-",$N$2,"-",R$3),'Look-ups'!$I$3:$M$24,5,FALSE)</f>
        <v>303.10714285714283</v>
      </c>
      <c r="S90" s="117">
        <f>VLOOKUP(CONCATENATE($G90,"-",$F90,"-Lone Person"),'Look-ups'!$Y$4:$AG$35,5,FALSE)</f>
        <v>93.09</v>
      </c>
      <c r="T90">
        <f>VLOOKUP(CONCATENATE($G90,"-",$F90,"-Lone Person"),'Look-ups'!$Y$4:$AG$35,6,FALSE)</f>
        <v>133.75</v>
      </c>
      <c r="U90">
        <f>VLOOKUP(CONCATENATE($G90,"-",$F90,"-Lone Person"),'Look-ups'!$Y$4:$AG$35,7,FALSE)</f>
        <v>160.5</v>
      </c>
      <c r="V90">
        <f>VLOOKUP(CONCATENATE($G90,"-",$F90,"-Lone Person"),'Look-ups'!$Y$4:$AG$35,8,FALSE)</f>
        <v>195.81</v>
      </c>
      <c r="W90">
        <f>VLOOKUP(CONCATENATE($G90,"-",$F90,"-Lone Person"),'Look-ups'!$Y$4:$AG$35,9,FALSE)</f>
        <v>186.18</v>
      </c>
      <c r="X90" s="117">
        <f>VLOOKUP(CONCATENATE($G90,"-",$F90,"-Couple Only"),'Look-ups'!$Y$4:$AG$35,5,FALSE)</f>
        <v>150.87</v>
      </c>
      <c r="Y90">
        <f>VLOOKUP(CONCATENATE($G90,"-",$F90,"-Couple Only"),'Look-ups'!$Y$4:$AG$35,6,FALSE)</f>
        <v>143.38</v>
      </c>
      <c r="Z90">
        <f>VLOOKUP(CONCATENATE($G90,"-",$F90,"-Couple Only"),'Look-ups'!$Y$4:$AG$35,7,FALSE)</f>
        <v>161.57000000000002</v>
      </c>
      <c r="AA90">
        <f>VLOOKUP(CONCATENATE($G90,"-",$F90,"-Couple Only"),'Look-ups'!$Y$4:$AG$35,8,FALSE)</f>
        <v>178.69</v>
      </c>
      <c r="AB90">
        <f>VLOOKUP(CONCATENATE($G90,"-",$F90,"-Couple Only"),'Look-ups'!$Y$4:$AG$35,9,FALSE)</f>
        <v>224.70000000000002</v>
      </c>
      <c r="AC90">
        <v>16</v>
      </c>
      <c r="AD90" t="s">
        <v>166</v>
      </c>
      <c r="AE90" s="287">
        <f>VLOOKUP($AD90,'Look-ups'!$A$122:$G$130,5,FALSE)</f>
        <v>0.16871165644171782</v>
      </c>
      <c r="AF90" s="287">
        <f>VLOOKUP($AD90,'Look-ups'!$A$122:$G$130,6,FALSE)</f>
        <v>0.27607361963190191</v>
      </c>
      <c r="AG90" s="287">
        <f>VLOOKUP($AD90,'Look-ups'!$A$122:$G$130,7,FALSE)</f>
        <v>0.55521472392638038</v>
      </c>
      <c r="AH90" s="291">
        <f>VLOOKUP($AC90,'Look-ups'!$A$50:$AO$118,'Look-ups'!$B$133*4,FALSE)*0.277778</f>
        <v>29.691521534893269</v>
      </c>
      <c r="AI90" s="291">
        <f>VLOOKUP($AC90,'Look-ups'!$A$50:$AO$118,'Look-ups'!$B$133*4+1,FALSE)*0.277778</f>
        <v>31.141860465106738</v>
      </c>
      <c r="AJ90" s="291">
        <f>AE90*$AH90/'Look-ups'!$B$141</f>
        <v>6.5481121312768371</v>
      </c>
      <c r="AK90" s="291">
        <f>AF90*$AH90/'Look-ups'!$B$140</f>
        <v>11.228829893858286</v>
      </c>
      <c r="AL90" s="291">
        <f>AG90*$AH90/'Look-ups'!$B$137</f>
        <v>3.1400323679904654</v>
      </c>
      <c r="AM90" s="291">
        <f>AI90/'Look-ups'!$B$136</f>
        <v>6.5561811505487873</v>
      </c>
      <c r="AN90" s="290">
        <f>AJ90*VLOOKUP($AD90,'Look-ups'!$A$123:$M$130,10,FALSE)</f>
        <v>1.7770848756270747</v>
      </c>
      <c r="AO90" s="290">
        <f>AK90*VLOOKUP($AD90,'Look-ups'!$A$123:$M$130,9,FALSE)</f>
        <v>2.0744679329748701</v>
      </c>
      <c r="AP90" s="290">
        <f>(AL90+AM90)*VLOOKUP($AD90,'Look-ups'!$A$123:$M$130,8,FALSE)</f>
        <v>3.1027883259325608</v>
      </c>
      <c r="AQ90" s="290">
        <f t="shared" si="2"/>
        <v>6.9543411345345056</v>
      </c>
      <c r="AR90" s="292">
        <f>AJ90*VLOOKUP($AD90,'Look-ups'!$A$123:$M$130,11,FALSE)</f>
        <v>2.8288636488937625E-2</v>
      </c>
      <c r="AS90" s="292">
        <f>AK90*VLOOKUP($AD90,'Look-ups'!$A$123:$M$130,12,FALSE)</f>
        <v>2.0830961026407371</v>
      </c>
      <c r="AT90" s="292">
        <f>(AL90+AM90)*VLOOKUP($AD90,'Look-ups'!$A$123:$M$130,13,FALSE)</f>
        <v>0.82029966366842066</v>
      </c>
      <c r="AU90" s="292">
        <f t="shared" si="3"/>
        <v>2.9316844027980951</v>
      </c>
    </row>
    <row r="91" spans="1:47" x14ac:dyDescent="0.25">
      <c r="A91">
        <v>4008</v>
      </c>
      <c r="B91" t="s">
        <v>379</v>
      </c>
      <c r="C91">
        <v>40.870600000000003</v>
      </c>
      <c r="D91">
        <v>21154</v>
      </c>
      <c r="E91">
        <v>517.58476753460923</v>
      </c>
      <c r="F91" t="s">
        <v>172</v>
      </c>
      <c r="G91" t="s">
        <v>166</v>
      </c>
      <c r="H91">
        <f>VLOOKUP(CONCATENATE($G91,"-",$F91,"-",$H$2),'Look-ups'!$O$3:$S$34,5,FALSE)*VLOOKUP(CONCATENATE($F91,"-",$H$2,"-",H$3),'Look-ups'!$I$3:$M$24,5,FALSE)</f>
        <v>116</v>
      </c>
      <c r="I91">
        <f>VLOOKUP(CONCATENATE($G91,"-",$F91,"-",$H$2),'Look-ups'!$O$3:$S$34,5,FALSE)*VLOOKUP(CONCATENATE($F91,"-",$H$2,"-",I$3),'Look-ups'!$I$3:$M$24,5,FALSE)</f>
        <v>174</v>
      </c>
      <c r="J91">
        <f>VLOOKUP(CONCATENATE($G91,"-",$F91,"-",$H$2),'Look-ups'!$O$3:$S$34,5,FALSE)*VLOOKUP(CONCATENATE($F91,"-",$H$2,"-",J$3),'Look-ups'!$I$3:$M$24,5,FALSE)</f>
        <v>203</v>
      </c>
      <c r="K91">
        <f>VLOOKUP(CONCATENATE($G91,"-",$F91,"-",$H$2),'Look-ups'!$O$3:$S$34,5,FALSE)*VLOOKUP(CONCATENATE($F91,"-",$H$2,"-",K$3),'Look-ups'!$I$3:$M$24,5,FALSE)</f>
        <v>261</v>
      </c>
      <c r="L91">
        <f>VLOOKUP(CONCATENATE($G91,"-",$F91,"-",$H$2),'Look-ups'!$O$3:$S$34,5,FALSE)*VLOOKUP(CONCATENATE($F91,"-",$H$2,"-",L$3),'Look-ups'!$I$3:$M$24,5,FALSE)</f>
        <v>290</v>
      </c>
      <c r="M91">
        <f>VLOOKUP(CONCATENATE($G91,"-",$F91,"-",$H$2),'Look-ups'!$O$3:$S$34,5,FALSE)*VLOOKUP(CONCATENATE($F91,"-",$H$2,"-",M$3),'Look-ups'!$I$3:$M$24,5,FALSE)</f>
        <v>319</v>
      </c>
      <c r="N91">
        <f>VLOOKUP(CONCATENATE($G91,"-",$F91,"-",$N$2),'Look-ups'!$O$3:$S$34,5,FALSE)*VLOOKUP(CONCATENATE($F91,"-",$N$2,"-",N$3),'Look-ups'!$I$3:$M$24,5,FALSE)</f>
        <v>155.25</v>
      </c>
      <c r="O91">
        <f>VLOOKUP(CONCATENATE($G91,"-",$F91,"-",$N$2),'Look-ups'!$O$3:$S$34,5,FALSE)*VLOOKUP(CONCATENATE($F91,"-",$N$2,"-",O$3),'Look-ups'!$I$3:$M$24,5,FALSE)</f>
        <v>155.25</v>
      </c>
      <c r="P91">
        <f>VLOOKUP(CONCATENATE($G91,"-",$F91,"-",$N$2),'Look-ups'!$O$3:$S$34,5,FALSE)*VLOOKUP(CONCATENATE($F91,"-",$N$2,"-",P$3),'Look-ups'!$I$3:$M$24,5,FALSE)</f>
        <v>207</v>
      </c>
      <c r="Q91">
        <f>VLOOKUP(CONCATENATE($G91,"-",$F91,"-",$N$2),'Look-ups'!$O$3:$S$34,5,FALSE)*VLOOKUP(CONCATENATE($F91,"-",$N$2,"-",Q$3),'Look-ups'!$I$3:$M$24,5,FALSE)</f>
        <v>266.14285714285717</v>
      </c>
      <c r="R91">
        <f>VLOOKUP(CONCATENATE($G91,"-",$F91,"-",$N$2),'Look-ups'!$O$3:$S$34,5,FALSE)*VLOOKUP(CONCATENATE($F91,"-",$N$2,"-",R$3),'Look-ups'!$I$3:$M$24,5,FALSE)</f>
        <v>303.10714285714283</v>
      </c>
      <c r="S91" s="117">
        <f>VLOOKUP(CONCATENATE($G91,"-",$F91,"-Lone Person"),'Look-ups'!$Y$4:$AG$35,5,FALSE)</f>
        <v>93.09</v>
      </c>
      <c r="T91">
        <f>VLOOKUP(CONCATENATE($G91,"-",$F91,"-Lone Person"),'Look-ups'!$Y$4:$AG$35,6,FALSE)</f>
        <v>133.75</v>
      </c>
      <c r="U91">
        <f>VLOOKUP(CONCATENATE($G91,"-",$F91,"-Lone Person"),'Look-ups'!$Y$4:$AG$35,7,FALSE)</f>
        <v>160.5</v>
      </c>
      <c r="V91">
        <f>VLOOKUP(CONCATENATE($G91,"-",$F91,"-Lone Person"),'Look-ups'!$Y$4:$AG$35,8,FALSE)</f>
        <v>195.81</v>
      </c>
      <c r="W91">
        <f>VLOOKUP(CONCATENATE($G91,"-",$F91,"-Lone Person"),'Look-ups'!$Y$4:$AG$35,9,FALSE)</f>
        <v>186.18</v>
      </c>
      <c r="X91" s="117">
        <f>VLOOKUP(CONCATENATE($G91,"-",$F91,"-Couple Only"),'Look-ups'!$Y$4:$AG$35,5,FALSE)</f>
        <v>150.87</v>
      </c>
      <c r="Y91">
        <f>VLOOKUP(CONCATENATE($G91,"-",$F91,"-Couple Only"),'Look-ups'!$Y$4:$AG$35,6,FALSE)</f>
        <v>143.38</v>
      </c>
      <c r="Z91">
        <f>VLOOKUP(CONCATENATE($G91,"-",$F91,"-Couple Only"),'Look-ups'!$Y$4:$AG$35,7,FALSE)</f>
        <v>161.57000000000002</v>
      </c>
      <c r="AA91">
        <f>VLOOKUP(CONCATENATE($G91,"-",$F91,"-Couple Only"),'Look-ups'!$Y$4:$AG$35,8,FALSE)</f>
        <v>178.69</v>
      </c>
      <c r="AB91">
        <f>VLOOKUP(CONCATENATE($G91,"-",$F91,"-Couple Only"),'Look-ups'!$Y$4:$AG$35,9,FALSE)</f>
        <v>224.70000000000002</v>
      </c>
      <c r="AC91">
        <v>16</v>
      </c>
      <c r="AD91" t="s">
        <v>166</v>
      </c>
      <c r="AE91" s="287">
        <f>VLOOKUP($AD91,'Look-ups'!$A$122:$G$130,5,FALSE)</f>
        <v>0.16871165644171782</v>
      </c>
      <c r="AF91" s="287">
        <f>VLOOKUP($AD91,'Look-ups'!$A$122:$G$130,6,FALSE)</f>
        <v>0.27607361963190191</v>
      </c>
      <c r="AG91" s="287">
        <f>VLOOKUP($AD91,'Look-ups'!$A$122:$G$130,7,FALSE)</f>
        <v>0.55521472392638038</v>
      </c>
      <c r="AH91" s="291">
        <f>VLOOKUP($AC91,'Look-ups'!$A$50:$AO$118,'Look-ups'!$B$133*4,FALSE)*0.277778</f>
        <v>29.691521534893269</v>
      </c>
      <c r="AI91" s="291">
        <f>VLOOKUP($AC91,'Look-ups'!$A$50:$AO$118,'Look-ups'!$B$133*4+1,FALSE)*0.277778</f>
        <v>31.141860465106738</v>
      </c>
      <c r="AJ91" s="291">
        <f>AE91*$AH91/'Look-ups'!$B$141</f>
        <v>6.5481121312768371</v>
      </c>
      <c r="AK91" s="291">
        <f>AF91*$AH91/'Look-ups'!$B$140</f>
        <v>11.228829893858286</v>
      </c>
      <c r="AL91" s="291">
        <f>AG91*$AH91/'Look-ups'!$B$137</f>
        <v>3.1400323679904654</v>
      </c>
      <c r="AM91" s="291">
        <f>AI91/'Look-ups'!$B$136</f>
        <v>6.5561811505487873</v>
      </c>
      <c r="AN91" s="290">
        <f>AJ91*VLOOKUP($AD91,'Look-ups'!$A$123:$M$130,10,FALSE)</f>
        <v>1.7770848756270747</v>
      </c>
      <c r="AO91" s="290">
        <f>AK91*VLOOKUP($AD91,'Look-ups'!$A$123:$M$130,9,FALSE)</f>
        <v>2.0744679329748701</v>
      </c>
      <c r="AP91" s="290">
        <f>(AL91+AM91)*VLOOKUP($AD91,'Look-ups'!$A$123:$M$130,8,FALSE)</f>
        <v>3.1027883259325608</v>
      </c>
      <c r="AQ91" s="290">
        <f t="shared" si="2"/>
        <v>6.9543411345345056</v>
      </c>
      <c r="AR91" s="292">
        <f>AJ91*VLOOKUP($AD91,'Look-ups'!$A$123:$M$130,11,FALSE)</f>
        <v>2.8288636488937625E-2</v>
      </c>
      <c r="AS91" s="292">
        <f>AK91*VLOOKUP($AD91,'Look-ups'!$A$123:$M$130,12,FALSE)</f>
        <v>2.0830961026407371</v>
      </c>
      <c r="AT91" s="292">
        <f>(AL91+AM91)*VLOOKUP($AD91,'Look-ups'!$A$123:$M$130,13,FALSE)</f>
        <v>0.82029966366842066</v>
      </c>
      <c r="AU91" s="292">
        <f t="shared" si="3"/>
        <v>2.9316844027980951</v>
      </c>
    </row>
    <row r="92" spans="1:47" x14ac:dyDescent="0.25">
      <c r="A92">
        <v>5000</v>
      </c>
      <c r="B92" t="s">
        <v>380</v>
      </c>
      <c r="C92">
        <v>2519666.1472999901</v>
      </c>
      <c r="D92">
        <v>283092</v>
      </c>
      <c r="E92">
        <v>0.11235297989908472</v>
      </c>
      <c r="F92" t="s">
        <v>172</v>
      </c>
      <c r="G92" t="s">
        <v>169</v>
      </c>
      <c r="H92">
        <f>VLOOKUP(CONCATENATE($G92,"-",$F92,"-",$H$2),'Look-ups'!$O$3:$S$34,5,FALSE)*VLOOKUP(CONCATENATE($F92,"-",$H$2,"-",H$3),'Look-ups'!$I$3:$M$24,5,FALSE)</f>
        <v>256.66666666666663</v>
      </c>
      <c r="I92">
        <f>VLOOKUP(CONCATENATE($G92,"-",$F92,"-",$H$2),'Look-ups'!$O$3:$S$34,5,FALSE)*VLOOKUP(CONCATENATE($F92,"-",$H$2,"-",I$3),'Look-ups'!$I$3:$M$24,5,FALSE)</f>
        <v>385</v>
      </c>
      <c r="J92">
        <f>VLOOKUP(CONCATENATE($G92,"-",$F92,"-",$H$2),'Look-ups'!$O$3:$S$34,5,FALSE)*VLOOKUP(CONCATENATE($F92,"-",$H$2,"-",J$3),'Look-ups'!$I$3:$M$24,5,FALSE)</f>
        <v>449.16666666666669</v>
      </c>
      <c r="K92">
        <f>VLOOKUP(CONCATENATE($G92,"-",$F92,"-",$H$2),'Look-ups'!$O$3:$S$34,5,FALSE)*VLOOKUP(CONCATENATE($F92,"-",$H$2,"-",K$3),'Look-ups'!$I$3:$M$24,5,FALSE)</f>
        <v>577.5</v>
      </c>
      <c r="L92">
        <f>VLOOKUP(CONCATENATE($G92,"-",$F92,"-",$H$2),'Look-ups'!$O$3:$S$34,5,FALSE)*VLOOKUP(CONCATENATE($F92,"-",$H$2,"-",L$3),'Look-ups'!$I$3:$M$24,5,FALSE)</f>
        <v>641.66666666666674</v>
      </c>
      <c r="M92">
        <f>VLOOKUP(CONCATENATE($G92,"-",$F92,"-",$H$2),'Look-ups'!$O$3:$S$34,5,FALSE)*VLOOKUP(CONCATENATE($F92,"-",$H$2,"-",M$3),'Look-ups'!$I$3:$M$24,5,FALSE)</f>
        <v>705.83333333333326</v>
      </c>
      <c r="N92">
        <f>VLOOKUP(CONCATENATE($G92,"-",$F92,"-",$N$2),'Look-ups'!$O$3:$S$34,5,FALSE)*VLOOKUP(CONCATENATE($F92,"-",$N$2,"-",N$3),'Look-ups'!$I$3:$M$24,5,FALSE)</f>
        <v>258.75</v>
      </c>
      <c r="O92">
        <f>VLOOKUP(CONCATENATE($G92,"-",$F92,"-",$N$2),'Look-ups'!$O$3:$S$34,5,FALSE)*VLOOKUP(CONCATENATE($F92,"-",$N$2,"-",O$3),'Look-ups'!$I$3:$M$24,5,FALSE)</f>
        <v>258.75</v>
      </c>
      <c r="P92">
        <f>VLOOKUP(CONCATENATE($G92,"-",$F92,"-",$N$2),'Look-ups'!$O$3:$S$34,5,FALSE)*VLOOKUP(CONCATENATE($F92,"-",$N$2,"-",P$3),'Look-ups'!$I$3:$M$24,5,FALSE)</f>
        <v>345</v>
      </c>
      <c r="Q92">
        <f>VLOOKUP(CONCATENATE($G92,"-",$F92,"-",$N$2),'Look-ups'!$O$3:$S$34,5,FALSE)*VLOOKUP(CONCATENATE($F92,"-",$N$2,"-",Q$3),'Look-ups'!$I$3:$M$24,5,FALSE)</f>
        <v>443.57142857142861</v>
      </c>
      <c r="R92">
        <f>VLOOKUP(CONCATENATE($G92,"-",$F92,"-",$N$2),'Look-ups'!$O$3:$S$34,5,FALSE)*VLOOKUP(CONCATENATE($F92,"-",$N$2,"-",R$3),'Look-ups'!$I$3:$M$24,5,FALSE)</f>
        <v>505.17857142857139</v>
      </c>
      <c r="S92" s="117">
        <f>VLOOKUP(CONCATENATE($G92,"-",$F92,"-Lone Person"),'Look-ups'!$Y$4:$AG$35,5,FALSE)</f>
        <v>108.07000000000001</v>
      </c>
      <c r="T92">
        <f>VLOOKUP(CONCATENATE($G92,"-",$F92,"-Lone Person"),'Look-ups'!$Y$4:$AG$35,6,FALSE)</f>
        <v>155.15</v>
      </c>
      <c r="U92">
        <f>VLOOKUP(CONCATENATE($G92,"-",$F92,"-Lone Person"),'Look-ups'!$Y$4:$AG$35,7,FALSE)</f>
        <v>186.18</v>
      </c>
      <c r="V92">
        <f>VLOOKUP(CONCATENATE($G92,"-",$F92,"-Lone Person"),'Look-ups'!$Y$4:$AG$35,8,FALSE)</f>
        <v>227.91000000000003</v>
      </c>
      <c r="W92">
        <f>VLOOKUP(CONCATENATE($G92,"-",$F92,"-Lone Person"),'Look-ups'!$Y$4:$AG$35,9,FALSE)</f>
        <v>216.14000000000001</v>
      </c>
      <c r="X92" s="117">
        <f>VLOOKUP(CONCATENATE($G92,"-",$F92,"-Couple Only"),'Look-ups'!$Y$4:$AG$35,5,FALSE)</f>
        <v>175.48000000000002</v>
      </c>
      <c r="Y92">
        <f>VLOOKUP(CONCATENATE($G92,"-",$F92,"-Couple Only"),'Look-ups'!$Y$4:$AG$35,6,FALSE)</f>
        <v>165.85000000000002</v>
      </c>
      <c r="Z92">
        <f>VLOOKUP(CONCATENATE($G92,"-",$F92,"-Couple Only"),'Look-ups'!$Y$4:$AG$35,7,FALSE)</f>
        <v>187.25</v>
      </c>
      <c r="AA92">
        <f>VLOOKUP(CONCATENATE($G92,"-",$F92,"-Couple Only"),'Look-ups'!$Y$4:$AG$35,8,FALSE)</f>
        <v>207.58</v>
      </c>
      <c r="AB92">
        <f>VLOOKUP(CONCATENATE($G92,"-",$F92,"-Couple Only"),'Look-ups'!$Y$4:$AG$35,9,FALSE)</f>
        <v>261.08000000000004</v>
      </c>
      <c r="AC92">
        <v>55</v>
      </c>
      <c r="AD92" t="s">
        <v>169</v>
      </c>
      <c r="AE92" s="287">
        <f>VLOOKUP($AD92,'Look-ups'!$A$122:$G$130,5,FALSE)</f>
        <v>0.12385321100917432</v>
      </c>
      <c r="AF92" s="287">
        <f>VLOOKUP($AD92,'Look-ups'!$A$122:$G$130,6,FALSE)</f>
        <v>0.28440366972477066</v>
      </c>
      <c r="AG92" s="287">
        <f>VLOOKUP($AD92,'Look-ups'!$A$122:$G$130,7,FALSE)</f>
        <v>0.59174311926605505</v>
      </c>
      <c r="AH92" s="291">
        <f>VLOOKUP($AC92,'Look-ups'!$A$50:$AO$118,'Look-ups'!$B$133*4,FALSE)*0.277778</f>
        <v>25.749122030847595</v>
      </c>
      <c r="AI92" s="291">
        <f>VLOOKUP($AC92,'Look-ups'!$A$50:$AO$118,'Look-ups'!$B$133*4+1,FALSE)*0.277778</f>
        <v>9.8064619691524069</v>
      </c>
      <c r="AJ92" s="291">
        <f>AE92*$AH92/'Look-ups'!$B$141</f>
        <v>4.1687731296569241</v>
      </c>
      <c r="AK92" s="291">
        <f>AF92*$AH92/'Look-ups'!$B$140</f>
        <v>10.031705202416433</v>
      </c>
      <c r="AL92" s="291">
        <f>AG92*$AH92/'Look-ups'!$B$137</f>
        <v>2.9022601502659149</v>
      </c>
      <c r="AM92" s="291">
        <f>AI92/'Look-ups'!$B$136</f>
        <v>2.0645183092952437</v>
      </c>
      <c r="AN92" s="290">
        <f>AJ92*VLOOKUP($AD92,'Look-ups'!$A$123:$M$130,10,FALSE)</f>
        <v>1.1313587076874485</v>
      </c>
      <c r="AO92" s="290">
        <f>AK92*VLOOKUP($AD92,'Look-ups'!$A$123:$M$130,9,FALSE)</f>
        <v>5.8208768802917303</v>
      </c>
      <c r="AP92" s="290">
        <f>(AL92+AM92)*VLOOKUP($AD92,'Look-ups'!$A$123:$M$130,8,FALSE)</f>
        <v>1.5893691070595708</v>
      </c>
      <c r="AQ92" s="290">
        <f t="shared" si="2"/>
        <v>8.5416046950387496</v>
      </c>
      <c r="AR92" s="292">
        <f>AJ92*VLOOKUP($AD92,'Look-ups'!$A$123:$M$130,11,FALSE)</f>
        <v>1.8009604189035203E-2</v>
      </c>
      <c r="AS92" s="292">
        <f>AK92*VLOOKUP($AD92,'Look-ups'!$A$123:$M$130,12,FALSE)</f>
        <v>1.8610136770728258</v>
      </c>
      <c r="AT92" s="292">
        <f>(AL92+AM92)*VLOOKUP($AD92,'Look-ups'!$A$123:$M$130,13,FALSE)</f>
        <v>1.0032892488313541</v>
      </c>
      <c r="AU92" s="292">
        <f t="shared" si="3"/>
        <v>2.8823125300932153</v>
      </c>
    </row>
    <row r="93" spans="1:47" x14ac:dyDescent="0.25">
      <c r="A93">
        <v>5001</v>
      </c>
      <c r="B93" t="s">
        <v>381</v>
      </c>
      <c r="C93">
        <v>299.39890000000003</v>
      </c>
      <c r="D93">
        <v>35053</v>
      </c>
      <c r="E93">
        <v>117.07791845594622</v>
      </c>
      <c r="F93" t="s">
        <v>172</v>
      </c>
      <c r="G93" t="s">
        <v>169</v>
      </c>
      <c r="H93">
        <f>VLOOKUP(CONCATENATE($G93,"-",$F93,"-",$H$2),'Look-ups'!$O$3:$S$34,5,FALSE)*VLOOKUP(CONCATENATE($F93,"-",$H$2,"-",H$3),'Look-ups'!$I$3:$M$24,5,FALSE)</f>
        <v>256.66666666666663</v>
      </c>
      <c r="I93">
        <f>VLOOKUP(CONCATENATE($G93,"-",$F93,"-",$H$2),'Look-ups'!$O$3:$S$34,5,FALSE)*VLOOKUP(CONCATENATE($F93,"-",$H$2,"-",I$3),'Look-ups'!$I$3:$M$24,5,FALSE)</f>
        <v>385</v>
      </c>
      <c r="J93">
        <f>VLOOKUP(CONCATENATE($G93,"-",$F93,"-",$H$2),'Look-ups'!$O$3:$S$34,5,FALSE)*VLOOKUP(CONCATENATE($F93,"-",$H$2,"-",J$3),'Look-ups'!$I$3:$M$24,5,FALSE)</f>
        <v>449.16666666666669</v>
      </c>
      <c r="K93">
        <f>VLOOKUP(CONCATENATE($G93,"-",$F93,"-",$H$2),'Look-ups'!$O$3:$S$34,5,FALSE)*VLOOKUP(CONCATENATE($F93,"-",$H$2,"-",K$3),'Look-ups'!$I$3:$M$24,5,FALSE)</f>
        <v>577.5</v>
      </c>
      <c r="L93">
        <f>VLOOKUP(CONCATENATE($G93,"-",$F93,"-",$H$2),'Look-ups'!$O$3:$S$34,5,FALSE)*VLOOKUP(CONCATENATE($F93,"-",$H$2,"-",L$3),'Look-ups'!$I$3:$M$24,5,FALSE)</f>
        <v>641.66666666666674</v>
      </c>
      <c r="M93">
        <f>VLOOKUP(CONCATENATE($G93,"-",$F93,"-",$H$2),'Look-ups'!$O$3:$S$34,5,FALSE)*VLOOKUP(CONCATENATE($F93,"-",$H$2,"-",M$3),'Look-ups'!$I$3:$M$24,5,FALSE)</f>
        <v>705.83333333333326</v>
      </c>
      <c r="N93">
        <f>VLOOKUP(CONCATENATE($G93,"-",$F93,"-",$N$2),'Look-ups'!$O$3:$S$34,5,FALSE)*VLOOKUP(CONCATENATE($F93,"-",$N$2,"-",N$3),'Look-ups'!$I$3:$M$24,5,FALSE)</f>
        <v>258.75</v>
      </c>
      <c r="O93">
        <f>VLOOKUP(CONCATENATE($G93,"-",$F93,"-",$N$2),'Look-ups'!$O$3:$S$34,5,FALSE)*VLOOKUP(CONCATENATE($F93,"-",$N$2,"-",O$3),'Look-ups'!$I$3:$M$24,5,FALSE)</f>
        <v>258.75</v>
      </c>
      <c r="P93">
        <f>VLOOKUP(CONCATENATE($G93,"-",$F93,"-",$N$2),'Look-ups'!$O$3:$S$34,5,FALSE)*VLOOKUP(CONCATENATE($F93,"-",$N$2,"-",P$3),'Look-ups'!$I$3:$M$24,5,FALSE)</f>
        <v>345</v>
      </c>
      <c r="Q93">
        <f>VLOOKUP(CONCATENATE($G93,"-",$F93,"-",$N$2),'Look-ups'!$O$3:$S$34,5,FALSE)*VLOOKUP(CONCATENATE($F93,"-",$N$2,"-",Q$3),'Look-ups'!$I$3:$M$24,5,FALSE)</f>
        <v>443.57142857142861</v>
      </c>
      <c r="R93">
        <f>VLOOKUP(CONCATENATE($G93,"-",$F93,"-",$N$2),'Look-ups'!$O$3:$S$34,5,FALSE)*VLOOKUP(CONCATENATE($F93,"-",$N$2,"-",R$3),'Look-ups'!$I$3:$M$24,5,FALSE)</f>
        <v>505.17857142857139</v>
      </c>
      <c r="S93" s="117">
        <f>VLOOKUP(CONCATENATE($G93,"-",$F93,"-Lone Person"),'Look-ups'!$Y$4:$AG$35,5,FALSE)</f>
        <v>108.07000000000001</v>
      </c>
      <c r="T93">
        <f>VLOOKUP(CONCATENATE($G93,"-",$F93,"-Lone Person"),'Look-ups'!$Y$4:$AG$35,6,FALSE)</f>
        <v>155.15</v>
      </c>
      <c r="U93">
        <f>VLOOKUP(CONCATENATE($G93,"-",$F93,"-Lone Person"),'Look-ups'!$Y$4:$AG$35,7,FALSE)</f>
        <v>186.18</v>
      </c>
      <c r="V93">
        <f>VLOOKUP(CONCATENATE($G93,"-",$F93,"-Lone Person"),'Look-ups'!$Y$4:$AG$35,8,FALSE)</f>
        <v>227.91000000000003</v>
      </c>
      <c r="W93">
        <f>VLOOKUP(CONCATENATE($G93,"-",$F93,"-Lone Person"),'Look-ups'!$Y$4:$AG$35,9,FALSE)</f>
        <v>216.14000000000001</v>
      </c>
      <c r="X93" s="117">
        <f>VLOOKUP(CONCATENATE($G93,"-",$F93,"-Couple Only"),'Look-ups'!$Y$4:$AG$35,5,FALSE)</f>
        <v>175.48000000000002</v>
      </c>
      <c r="Y93">
        <f>VLOOKUP(CONCATENATE($G93,"-",$F93,"-Couple Only"),'Look-ups'!$Y$4:$AG$35,6,FALSE)</f>
        <v>165.85000000000002</v>
      </c>
      <c r="Z93">
        <f>VLOOKUP(CONCATENATE($G93,"-",$F93,"-Couple Only"),'Look-ups'!$Y$4:$AG$35,7,FALSE)</f>
        <v>187.25</v>
      </c>
      <c r="AA93">
        <f>VLOOKUP(CONCATENATE($G93,"-",$F93,"-Couple Only"),'Look-ups'!$Y$4:$AG$35,8,FALSE)</f>
        <v>207.58</v>
      </c>
      <c r="AB93">
        <f>VLOOKUP(CONCATENATE($G93,"-",$F93,"-Couple Only"),'Look-ups'!$Y$4:$AG$35,9,FALSE)</f>
        <v>261.08000000000004</v>
      </c>
      <c r="AC93">
        <v>58</v>
      </c>
      <c r="AD93" t="s">
        <v>169</v>
      </c>
      <c r="AE93" s="287">
        <f>VLOOKUP($AD93,'Look-ups'!$A$122:$G$130,5,FALSE)</f>
        <v>0.12385321100917432</v>
      </c>
      <c r="AF93" s="287">
        <f>VLOOKUP($AD93,'Look-ups'!$A$122:$G$130,6,FALSE)</f>
        <v>0.28440366972477066</v>
      </c>
      <c r="AG93" s="287">
        <f>VLOOKUP($AD93,'Look-ups'!$A$122:$G$130,7,FALSE)</f>
        <v>0.59174311926605505</v>
      </c>
      <c r="AH93" s="291">
        <f>VLOOKUP($AC93,'Look-ups'!$A$50:$AO$118,'Look-ups'!$B$133*4,FALSE)*0.277778</f>
        <v>40.840110867701803</v>
      </c>
      <c r="AI93" s="291">
        <f>VLOOKUP($AC93,'Look-ups'!$A$50:$AO$118,'Look-ups'!$B$133*4+1,FALSE)*0.277778</f>
        <v>6.3821491322981956</v>
      </c>
      <c r="AJ93" s="291">
        <f>AE93*$AH93/'Look-ups'!$B$141</f>
        <v>6.6119985214843728</v>
      </c>
      <c r="AK93" s="291">
        <f>AF93*$AH93/'Look-ups'!$B$140</f>
        <v>15.91106493526148</v>
      </c>
      <c r="AL93" s="291">
        <f>AG93*$AH93/'Look-ups'!$B$137</f>
        <v>4.6032103992429292</v>
      </c>
      <c r="AM93" s="291">
        <f>AI93/'Look-ups'!$B$136</f>
        <v>1.3436103436417255</v>
      </c>
      <c r="AN93" s="290">
        <f>AJ93*VLOOKUP($AD93,'Look-ups'!$A$123:$M$130,10,FALSE)</f>
        <v>1.7944229320806198</v>
      </c>
      <c r="AO93" s="290">
        <f>AK93*VLOOKUP($AD93,'Look-ups'!$A$123:$M$130,9,FALSE)</f>
        <v>9.2323636065556034</v>
      </c>
      <c r="AP93" s="290">
        <f>(AL93+AM93)*VLOOKUP($AD93,'Look-ups'!$A$123:$M$130,8,FALSE)</f>
        <v>1.9029826377230896</v>
      </c>
      <c r="AQ93" s="290">
        <f t="shared" si="2"/>
        <v>12.929769176359313</v>
      </c>
      <c r="AR93" s="292">
        <f>AJ93*VLOOKUP($AD93,'Look-ups'!$A$123:$M$130,11,FALSE)</f>
        <v>2.8564633422548322E-2</v>
      </c>
      <c r="AS93" s="292">
        <f>AK93*VLOOKUP($AD93,'Look-ups'!$A$123:$M$130,12,FALSE)</f>
        <v>2.9517124819599818</v>
      </c>
      <c r="AT93" s="292">
        <f>(AL93+AM93)*VLOOKUP($AD93,'Look-ups'!$A$123:$M$130,13,FALSE)</f>
        <v>1.2012577900627004</v>
      </c>
      <c r="AU93" s="292">
        <f t="shared" si="3"/>
        <v>4.1815349054452309</v>
      </c>
    </row>
    <row r="94" spans="1:47" x14ac:dyDescent="0.25">
      <c r="A94">
        <v>5002</v>
      </c>
      <c r="B94" t="s">
        <v>382</v>
      </c>
      <c r="C94">
        <v>50.042499999999897</v>
      </c>
      <c r="D94">
        <v>14660</v>
      </c>
      <c r="E94">
        <v>292.95099165709206</v>
      </c>
      <c r="F94" t="s">
        <v>172</v>
      </c>
      <c r="G94" t="s">
        <v>169</v>
      </c>
      <c r="H94">
        <f>VLOOKUP(CONCATENATE($G94,"-",$F94,"-",$H$2),'Look-ups'!$O$3:$S$34,5,FALSE)*VLOOKUP(CONCATENATE($F94,"-",$H$2,"-",H$3),'Look-ups'!$I$3:$M$24,5,FALSE)</f>
        <v>256.66666666666663</v>
      </c>
      <c r="I94">
        <f>VLOOKUP(CONCATENATE($G94,"-",$F94,"-",$H$2),'Look-ups'!$O$3:$S$34,5,FALSE)*VLOOKUP(CONCATENATE($F94,"-",$H$2,"-",I$3),'Look-ups'!$I$3:$M$24,5,FALSE)</f>
        <v>385</v>
      </c>
      <c r="J94">
        <f>VLOOKUP(CONCATENATE($G94,"-",$F94,"-",$H$2),'Look-ups'!$O$3:$S$34,5,FALSE)*VLOOKUP(CONCATENATE($F94,"-",$H$2,"-",J$3),'Look-ups'!$I$3:$M$24,5,FALSE)</f>
        <v>449.16666666666669</v>
      </c>
      <c r="K94">
        <f>VLOOKUP(CONCATENATE($G94,"-",$F94,"-",$H$2),'Look-ups'!$O$3:$S$34,5,FALSE)*VLOOKUP(CONCATENATE($F94,"-",$H$2,"-",K$3),'Look-ups'!$I$3:$M$24,5,FALSE)</f>
        <v>577.5</v>
      </c>
      <c r="L94">
        <f>VLOOKUP(CONCATENATE($G94,"-",$F94,"-",$H$2),'Look-ups'!$O$3:$S$34,5,FALSE)*VLOOKUP(CONCATENATE($F94,"-",$H$2,"-",L$3),'Look-ups'!$I$3:$M$24,5,FALSE)</f>
        <v>641.66666666666674</v>
      </c>
      <c r="M94">
        <f>VLOOKUP(CONCATENATE($G94,"-",$F94,"-",$H$2),'Look-ups'!$O$3:$S$34,5,FALSE)*VLOOKUP(CONCATENATE($F94,"-",$H$2,"-",M$3),'Look-ups'!$I$3:$M$24,5,FALSE)</f>
        <v>705.83333333333326</v>
      </c>
      <c r="N94">
        <f>VLOOKUP(CONCATENATE($G94,"-",$F94,"-",$N$2),'Look-ups'!$O$3:$S$34,5,FALSE)*VLOOKUP(CONCATENATE($F94,"-",$N$2,"-",N$3),'Look-ups'!$I$3:$M$24,5,FALSE)</f>
        <v>258.75</v>
      </c>
      <c r="O94">
        <f>VLOOKUP(CONCATENATE($G94,"-",$F94,"-",$N$2),'Look-ups'!$O$3:$S$34,5,FALSE)*VLOOKUP(CONCATENATE($F94,"-",$N$2,"-",O$3),'Look-ups'!$I$3:$M$24,5,FALSE)</f>
        <v>258.75</v>
      </c>
      <c r="P94">
        <f>VLOOKUP(CONCATENATE($G94,"-",$F94,"-",$N$2),'Look-ups'!$O$3:$S$34,5,FALSE)*VLOOKUP(CONCATENATE($F94,"-",$N$2,"-",P$3),'Look-ups'!$I$3:$M$24,5,FALSE)</f>
        <v>345</v>
      </c>
      <c r="Q94">
        <f>VLOOKUP(CONCATENATE($G94,"-",$F94,"-",$N$2),'Look-ups'!$O$3:$S$34,5,FALSE)*VLOOKUP(CONCATENATE($F94,"-",$N$2,"-",Q$3),'Look-ups'!$I$3:$M$24,5,FALSE)</f>
        <v>443.57142857142861</v>
      </c>
      <c r="R94">
        <f>VLOOKUP(CONCATENATE($G94,"-",$F94,"-",$N$2),'Look-ups'!$O$3:$S$34,5,FALSE)*VLOOKUP(CONCATENATE($F94,"-",$N$2,"-",R$3),'Look-ups'!$I$3:$M$24,5,FALSE)</f>
        <v>505.17857142857139</v>
      </c>
      <c r="S94" s="117">
        <f>VLOOKUP(CONCATENATE($G94,"-",$F94,"-Lone Person"),'Look-ups'!$Y$4:$AG$35,5,FALSE)</f>
        <v>108.07000000000001</v>
      </c>
      <c r="T94">
        <f>VLOOKUP(CONCATENATE($G94,"-",$F94,"-Lone Person"),'Look-ups'!$Y$4:$AG$35,6,FALSE)</f>
        <v>155.15</v>
      </c>
      <c r="U94">
        <f>VLOOKUP(CONCATENATE($G94,"-",$F94,"-Lone Person"),'Look-ups'!$Y$4:$AG$35,7,FALSE)</f>
        <v>186.18</v>
      </c>
      <c r="V94">
        <f>VLOOKUP(CONCATENATE($G94,"-",$F94,"-Lone Person"),'Look-ups'!$Y$4:$AG$35,8,FALSE)</f>
        <v>227.91000000000003</v>
      </c>
      <c r="W94">
        <f>VLOOKUP(CONCATENATE($G94,"-",$F94,"-Lone Person"),'Look-ups'!$Y$4:$AG$35,9,FALSE)</f>
        <v>216.14000000000001</v>
      </c>
      <c r="X94" s="117">
        <f>VLOOKUP(CONCATENATE($G94,"-",$F94,"-Couple Only"),'Look-ups'!$Y$4:$AG$35,5,FALSE)</f>
        <v>175.48000000000002</v>
      </c>
      <c r="Y94">
        <f>VLOOKUP(CONCATENATE($G94,"-",$F94,"-Couple Only"),'Look-ups'!$Y$4:$AG$35,6,FALSE)</f>
        <v>165.85000000000002</v>
      </c>
      <c r="Z94">
        <f>VLOOKUP(CONCATENATE($G94,"-",$F94,"-Couple Only"),'Look-ups'!$Y$4:$AG$35,7,FALSE)</f>
        <v>187.25</v>
      </c>
      <c r="AA94">
        <f>VLOOKUP(CONCATENATE($G94,"-",$F94,"-Couple Only"),'Look-ups'!$Y$4:$AG$35,8,FALSE)</f>
        <v>207.58</v>
      </c>
      <c r="AB94">
        <f>VLOOKUP(CONCATENATE($G94,"-",$F94,"-Couple Only"),'Look-ups'!$Y$4:$AG$35,9,FALSE)</f>
        <v>261.08000000000004</v>
      </c>
      <c r="AC94">
        <v>33</v>
      </c>
      <c r="AD94" t="s">
        <v>169</v>
      </c>
      <c r="AE94" s="287">
        <f>VLOOKUP($AD94,'Look-ups'!$A$122:$G$130,5,FALSE)</f>
        <v>0.12385321100917432</v>
      </c>
      <c r="AF94" s="287">
        <f>VLOOKUP($AD94,'Look-ups'!$A$122:$G$130,6,FALSE)</f>
        <v>0.28440366972477066</v>
      </c>
      <c r="AG94" s="287">
        <f>VLOOKUP($AD94,'Look-ups'!$A$122:$G$130,7,FALSE)</f>
        <v>0.59174311926605505</v>
      </c>
      <c r="AH94" s="291">
        <f>VLOOKUP($AC94,'Look-ups'!$A$50:$AO$118,'Look-ups'!$B$133*4,FALSE)*0.277778</f>
        <v>4.2903111384061596E-2</v>
      </c>
      <c r="AI94" s="291">
        <f>VLOOKUP($AC94,'Look-ups'!$A$50:$AO$118,'Look-ups'!$B$133*4+1,FALSE)*0.277778</f>
        <v>121.62386088861595</v>
      </c>
      <c r="AJ94" s="291">
        <f>AE94*$AH94/'Look-ups'!$B$141</f>
        <v>6.9459975257520137E-3</v>
      </c>
      <c r="AK94" s="291">
        <f>AF94*$AH94/'Look-ups'!$B$140</f>
        <v>1.6714797698955758E-2</v>
      </c>
      <c r="AL94" s="291">
        <f>AG94*$AH94/'Look-ups'!$B$137</f>
        <v>4.8357373250711632E-3</v>
      </c>
      <c r="AM94" s="291">
        <f>AI94/'Look-ups'!$B$136</f>
        <v>25.60502334497178</v>
      </c>
      <c r="AN94" s="290">
        <f>AJ94*VLOOKUP($AD94,'Look-ups'!$A$123:$M$130,10,FALSE)</f>
        <v>1.8850665507388102E-3</v>
      </c>
      <c r="AO94" s="290">
        <f>AK94*VLOOKUP($AD94,'Look-ups'!$A$123:$M$130,9,FALSE)</f>
        <v>9.6987279352236805E-3</v>
      </c>
      <c r="AP94" s="290">
        <f>(AL94+AM94)*VLOOKUP($AD94,'Look-ups'!$A$123:$M$130,8,FALSE)</f>
        <v>8.1951549063349916</v>
      </c>
      <c r="AQ94" s="290">
        <f t="shared" si="2"/>
        <v>8.2067387008209547</v>
      </c>
      <c r="AR94" s="292">
        <f>AJ94*VLOOKUP($AD94,'Look-ups'!$A$123:$M$130,11,FALSE)</f>
        <v>3.0007549522635332E-5</v>
      </c>
      <c r="AS94" s="292">
        <f>AK94*VLOOKUP($AD94,'Look-ups'!$A$123:$M$130,12,FALSE)</f>
        <v>3.1008155143722872E-3</v>
      </c>
      <c r="AT94" s="292">
        <f>(AL94+AM94)*VLOOKUP($AD94,'Look-ups'!$A$123:$M$130,13,FALSE)</f>
        <v>5.1731915346239639</v>
      </c>
      <c r="AU94" s="292">
        <f t="shared" si="3"/>
        <v>5.1763223576878588</v>
      </c>
    </row>
    <row r="95" spans="1:47" x14ac:dyDescent="0.25">
      <c r="A95">
        <v>5003</v>
      </c>
      <c r="B95" t="s">
        <v>383</v>
      </c>
      <c r="C95">
        <v>222.700299999999</v>
      </c>
      <c r="D95">
        <v>76452</v>
      </c>
      <c r="E95">
        <v>343.29545133078108</v>
      </c>
      <c r="F95" t="s">
        <v>172</v>
      </c>
      <c r="G95" t="s">
        <v>169</v>
      </c>
      <c r="H95">
        <f>VLOOKUP(CONCATENATE($G95,"-",$F95,"-",$H$2),'Look-ups'!$O$3:$S$34,5,FALSE)*VLOOKUP(CONCATENATE($F95,"-",$H$2,"-",H$3),'Look-ups'!$I$3:$M$24,5,FALSE)</f>
        <v>256.66666666666663</v>
      </c>
      <c r="I95">
        <f>VLOOKUP(CONCATENATE($G95,"-",$F95,"-",$H$2),'Look-ups'!$O$3:$S$34,5,FALSE)*VLOOKUP(CONCATENATE($F95,"-",$H$2,"-",I$3),'Look-ups'!$I$3:$M$24,5,FALSE)</f>
        <v>385</v>
      </c>
      <c r="J95">
        <f>VLOOKUP(CONCATENATE($G95,"-",$F95,"-",$H$2),'Look-ups'!$O$3:$S$34,5,FALSE)*VLOOKUP(CONCATENATE($F95,"-",$H$2,"-",J$3),'Look-ups'!$I$3:$M$24,5,FALSE)</f>
        <v>449.16666666666669</v>
      </c>
      <c r="K95">
        <f>VLOOKUP(CONCATENATE($G95,"-",$F95,"-",$H$2),'Look-ups'!$O$3:$S$34,5,FALSE)*VLOOKUP(CONCATENATE($F95,"-",$H$2,"-",K$3),'Look-ups'!$I$3:$M$24,5,FALSE)</f>
        <v>577.5</v>
      </c>
      <c r="L95">
        <f>VLOOKUP(CONCATENATE($G95,"-",$F95,"-",$H$2),'Look-ups'!$O$3:$S$34,5,FALSE)*VLOOKUP(CONCATENATE($F95,"-",$H$2,"-",L$3),'Look-ups'!$I$3:$M$24,5,FALSE)</f>
        <v>641.66666666666674</v>
      </c>
      <c r="M95">
        <f>VLOOKUP(CONCATENATE($G95,"-",$F95,"-",$H$2),'Look-ups'!$O$3:$S$34,5,FALSE)*VLOOKUP(CONCATENATE($F95,"-",$H$2,"-",M$3),'Look-ups'!$I$3:$M$24,5,FALSE)</f>
        <v>705.83333333333326</v>
      </c>
      <c r="N95">
        <f>VLOOKUP(CONCATENATE($G95,"-",$F95,"-",$N$2),'Look-ups'!$O$3:$S$34,5,FALSE)*VLOOKUP(CONCATENATE($F95,"-",$N$2,"-",N$3),'Look-ups'!$I$3:$M$24,5,FALSE)</f>
        <v>258.75</v>
      </c>
      <c r="O95">
        <f>VLOOKUP(CONCATENATE($G95,"-",$F95,"-",$N$2),'Look-ups'!$O$3:$S$34,5,FALSE)*VLOOKUP(CONCATENATE($F95,"-",$N$2,"-",O$3),'Look-ups'!$I$3:$M$24,5,FALSE)</f>
        <v>258.75</v>
      </c>
      <c r="P95">
        <f>VLOOKUP(CONCATENATE($G95,"-",$F95,"-",$N$2),'Look-ups'!$O$3:$S$34,5,FALSE)*VLOOKUP(CONCATENATE($F95,"-",$N$2,"-",P$3),'Look-ups'!$I$3:$M$24,5,FALSE)</f>
        <v>345</v>
      </c>
      <c r="Q95">
        <f>VLOOKUP(CONCATENATE($G95,"-",$F95,"-",$N$2),'Look-ups'!$O$3:$S$34,5,FALSE)*VLOOKUP(CONCATENATE($F95,"-",$N$2,"-",Q$3),'Look-ups'!$I$3:$M$24,5,FALSE)</f>
        <v>443.57142857142861</v>
      </c>
      <c r="R95">
        <f>VLOOKUP(CONCATENATE($G95,"-",$F95,"-",$N$2),'Look-ups'!$O$3:$S$34,5,FALSE)*VLOOKUP(CONCATENATE($F95,"-",$N$2,"-",R$3),'Look-ups'!$I$3:$M$24,5,FALSE)</f>
        <v>505.17857142857139</v>
      </c>
      <c r="S95" s="117">
        <f>VLOOKUP(CONCATENATE($G95,"-",$F95,"-Lone Person"),'Look-ups'!$Y$4:$AG$35,5,FALSE)</f>
        <v>108.07000000000001</v>
      </c>
      <c r="T95">
        <f>VLOOKUP(CONCATENATE($G95,"-",$F95,"-Lone Person"),'Look-ups'!$Y$4:$AG$35,6,FALSE)</f>
        <v>155.15</v>
      </c>
      <c r="U95">
        <f>VLOOKUP(CONCATENATE($G95,"-",$F95,"-Lone Person"),'Look-ups'!$Y$4:$AG$35,7,FALSE)</f>
        <v>186.18</v>
      </c>
      <c r="V95">
        <f>VLOOKUP(CONCATENATE($G95,"-",$F95,"-Lone Person"),'Look-ups'!$Y$4:$AG$35,8,FALSE)</f>
        <v>227.91000000000003</v>
      </c>
      <c r="W95">
        <f>VLOOKUP(CONCATENATE($G95,"-",$F95,"-Lone Person"),'Look-ups'!$Y$4:$AG$35,9,FALSE)</f>
        <v>216.14000000000001</v>
      </c>
      <c r="X95" s="117">
        <f>VLOOKUP(CONCATENATE($G95,"-",$F95,"-Couple Only"),'Look-ups'!$Y$4:$AG$35,5,FALSE)</f>
        <v>175.48000000000002</v>
      </c>
      <c r="Y95">
        <f>VLOOKUP(CONCATENATE($G95,"-",$F95,"-Couple Only"),'Look-ups'!$Y$4:$AG$35,6,FALSE)</f>
        <v>165.85000000000002</v>
      </c>
      <c r="Z95">
        <f>VLOOKUP(CONCATENATE($G95,"-",$F95,"-Couple Only"),'Look-ups'!$Y$4:$AG$35,7,FALSE)</f>
        <v>187.25</v>
      </c>
      <c r="AA95">
        <f>VLOOKUP(CONCATENATE($G95,"-",$F95,"-Couple Only"),'Look-ups'!$Y$4:$AG$35,8,FALSE)</f>
        <v>207.58</v>
      </c>
      <c r="AB95">
        <f>VLOOKUP(CONCATENATE($G95,"-",$F95,"-Couple Only"),'Look-ups'!$Y$4:$AG$35,9,FALSE)</f>
        <v>261.08000000000004</v>
      </c>
      <c r="AC95">
        <v>54</v>
      </c>
      <c r="AD95" t="s">
        <v>169</v>
      </c>
      <c r="AE95" s="287">
        <f>VLOOKUP($AD95,'Look-ups'!$A$122:$G$130,5,FALSE)</f>
        <v>0.12385321100917432</v>
      </c>
      <c r="AF95" s="287">
        <f>VLOOKUP($AD95,'Look-ups'!$A$122:$G$130,6,FALSE)</f>
        <v>0.28440366972477066</v>
      </c>
      <c r="AG95" s="287">
        <f>VLOOKUP($AD95,'Look-ups'!$A$122:$G$130,7,FALSE)</f>
        <v>0.59174311926605505</v>
      </c>
      <c r="AH95" s="291">
        <f>VLOOKUP($AC95,'Look-ups'!$A$50:$AO$118,'Look-ups'!$B$133*4,FALSE)*0.277778</f>
        <v>8.8894958662352064</v>
      </c>
      <c r="AI95" s="291">
        <f>VLOOKUP($AC95,'Look-ups'!$A$50:$AO$118,'Look-ups'!$B$133*4+1,FALSE)*0.277778</f>
        <v>18.610526133764793</v>
      </c>
      <c r="AJ95" s="291">
        <f>AE95*$AH95/'Look-ups'!$B$141</f>
        <v>1.4392060225960941</v>
      </c>
      <c r="AK95" s="291">
        <f>AF95*$AH95/'Look-ups'!$B$140</f>
        <v>3.4632948580280436</v>
      </c>
      <c r="AL95" s="291">
        <f>AG95*$AH95/'Look-ups'!$B$137</f>
        <v>1.0019615262073758</v>
      </c>
      <c r="AM95" s="291">
        <f>AI95/'Look-ups'!$B$136</f>
        <v>3.9180055018452196</v>
      </c>
      <c r="AN95" s="290">
        <f>AJ95*VLOOKUP($AD95,'Look-ups'!$A$123:$M$130,10,FALSE)</f>
        <v>0.39058452335455102</v>
      </c>
      <c r="AO95" s="290">
        <f>AK95*VLOOKUP($AD95,'Look-ups'!$A$123:$M$130,9,FALSE)</f>
        <v>2.0095699147810562</v>
      </c>
      <c r="AP95" s="290">
        <f>(AL95+AM95)*VLOOKUP($AD95,'Look-ups'!$A$123:$M$130,8,FALSE)</f>
        <v>1.5743894489768306</v>
      </c>
      <c r="AQ95" s="290">
        <f t="shared" si="2"/>
        <v>3.9745438871124374</v>
      </c>
      <c r="AR95" s="292">
        <f>AJ95*VLOOKUP($AD95,'Look-ups'!$A$123:$M$130,11,FALSE)</f>
        <v>6.2175441088501739E-3</v>
      </c>
      <c r="AS95" s="292">
        <f>AK95*VLOOKUP($AD95,'Look-ups'!$A$123:$M$130,12,FALSE)</f>
        <v>0.64248689215604671</v>
      </c>
      <c r="AT95" s="292">
        <f>(AL95+AM95)*VLOOKUP($AD95,'Look-ups'!$A$123:$M$130,13,FALSE)</f>
        <v>0.99383333966662435</v>
      </c>
      <c r="AU95" s="292">
        <f t="shared" si="3"/>
        <v>1.6425377759315212</v>
      </c>
    </row>
    <row r="96" spans="1:47" x14ac:dyDescent="0.25">
      <c r="A96">
        <v>5004</v>
      </c>
      <c r="B96" t="s">
        <v>384</v>
      </c>
      <c r="C96">
        <v>1423.3040000000001</v>
      </c>
      <c r="D96">
        <v>40544</v>
      </c>
      <c r="E96">
        <v>28.485832963302286</v>
      </c>
      <c r="F96" t="s">
        <v>172</v>
      </c>
      <c r="G96" t="s">
        <v>169</v>
      </c>
      <c r="H96">
        <f>VLOOKUP(CONCATENATE($G96,"-",$F96,"-",$H$2),'Look-ups'!$O$3:$S$34,5,FALSE)*VLOOKUP(CONCATENATE($F96,"-",$H$2,"-",H$3),'Look-ups'!$I$3:$M$24,5,FALSE)</f>
        <v>256.66666666666663</v>
      </c>
      <c r="I96">
        <f>VLOOKUP(CONCATENATE($G96,"-",$F96,"-",$H$2),'Look-ups'!$O$3:$S$34,5,FALSE)*VLOOKUP(CONCATENATE($F96,"-",$H$2,"-",I$3),'Look-ups'!$I$3:$M$24,5,FALSE)</f>
        <v>385</v>
      </c>
      <c r="J96">
        <f>VLOOKUP(CONCATENATE($G96,"-",$F96,"-",$H$2),'Look-ups'!$O$3:$S$34,5,FALSE)*VLOOKUP(CONCATENATE($F96,"-",$H$2,"-",J$3),'Look-ups'!$I$3:$M$24,5,FALSE)</f>
        <v>449.16666666666669</v>
      </c>
      <c r="K96">
        <f>VLOOKUP(CONCATENATE($G96,"-",$F96,"-",$H$2),'Look-ups'!$O$3:$S$34,5,FALSE)*VLOOKUP(CONCATENATE($F96,"-",$H$2,"-",K$3),'Look-ups'!$I$3:$M$24,5,FALSE)</f>
        <v>577.5</v>
      </c>
      <c r="L96">
        <f>VLOOKUP(CONCATENATE($G96,"-",$F96,"-",$H$2),'Look-ups'!$O$3:$S$34,5,FALSE)*VLOOKUP(CONCATENATE($F96,"-",$H$2,"-",L$3),'Look-ups'!$I$3:$M$24,5,FALSE)</f>
        <v>641.66666666666674</v>
      </c>
      <c r="M96">
        <f>VLOOKUP(CONCATENATE($G96,"-",$F96,"-",$H$2),'Look-ups'!$O$3:$S$34,5,FALSE)*VLOOKUP(CONCATENATE($F96,"-",$H$2,"-",M$3),'Look-ups'!$I$3:$M$24,5,FALSE)</f>
        <v>705.83333333333326</v>
      </c>
      <c r="N96">
        <f>VLOOKUP(CONCATENATE($G96,"-",$F96,"-",$N$2),'Look-ups'!$O$3:$S$34,5,FALSE)*VLOOKUP(CONCATENATE($F96,"-",$N$2,"-",N$3),'Look-ups'!$I$3:$M$24,5,FALSE)</f>
        <v>258.75</v>
      </c>
      <c r="O96">
        <f>VLOOKUP(CONCATENATE($G96,"-",$F96,"-",$N$2),'Look-ups'!$O$3:$S$34,5,FALSE)*VLOOKUP(CONCATENATE($F96,"-",$N$2,"-",O$3),'Look-ups'!$I$3:$M$24,5,FALSE)</f>
        <v>258.75</v>
      </c>
      <c r="P96">
        <f>VLOOKUP(CONCATENATE($G96,"-",$F96,"-",$N$2),'Look-ups'!$O$3:$S$34,5,FALSE)*VLOOKUP(CONCATENATE($F96,"-",$N$2,"-",P$3),'Look-ups'!$I$3:$M$24,5,FALSE)</f>
        <v>345</v>
      </c>
      <c r="Q96">
        <f>VLOOKUP(CONCATENATE($G96,"-",$F96,"-",$N$2),'Look-ups'!$O$3:$S$34,5,FALSE)*VLOOKUP(CONCATENATE($F96,"-",$N$2,"-",Q$3),'Look-ups'!$I$3:$M$24,5,FALSE)</f>
        <v>443.57142857142861</v>
      </c>
      <c r="R96">
        <f>VLOOKUP(CONCATENATE($G96,"-",$F96,"-",$N$2),'Look-ups'!$O$3:$S$34,5,FALSE)*VLOOKUP(CONCATENATE($F96,"-",$N$2,"-",R$3),'Look-ups'!$I$3:$M$24,5,FALSE)</f>
        <v>505.17857142857139</v>
      </c>
      <c r="S96" s="117">
        <f>VLOOKUP(CONCATENATE($G96,"-",$F96,"-Lone Person"),'Look-ups'!$Y$4:$AG$35,5,FALSE)</f>
        <v>108.07000000000001</v>
      </c>
      <c r="T96">
        <f>VLOOKUP(CONCATENATE($G96,"-",$F96,"-Lone Person"),'Look-ups'!$Y$4:$AG$35,6,FALSE)</f>
        <v>155.15</v>
      </c>
      <c r="U96">
        <f>VLOOKUP(CONCATENATE($G96,"-",$F96,"-Lone Person"),'Look-ups'!$Y$4:$AG$35,7,FALSE)</f>
        <v>186.18</v>
      </c>
      <c r="V96">
        <f>VLOOKUP(CONCATENATE($G96,"-",$F96,"-Lone Person"),'Look-ups'!$Y$4:$AG$35,8,FALSE)</f>
        <v>227.91000000000003</v>
      </c>
      <c r="W96">
        <f>VLOOKUP(CONCATENATE($G96,"-",$F96,"-Lone Person"),'Look-ups'!$Y$4:$AG$35,9,FALSE)</f>
        <v>216.14000000000001</v>
      </c>
      <c r="X96" s="117">
        <f>VLOOKUP(CONCATENATE($G96,"-",$F96,"-Couple Only"),'Look-ups'!$Y$4:$AG$35,5,FALSE)</f>
        <v>175.48000000000002</v>
      </c>
      <c r="Y96">
        <f>VLOOKUP(CONCATENATE($G96,"-",$F96,"-Couple Only"),'Look-ups'!$Y$4:$AG$35,6,FALSE)</f>
        <v>165.85000000000002</v>
      </c>
      <c r="Z96">
        <f>VLOOKUP(CONCATENATE($G96,"-",$F96,"-Couple Only"),'Look-ups'!$Y$4:$AG$35,7,FALSE)</f>
        <v>187.25</v>
      </c>
      <c r="AA96">
        <f>VLOOKUP(CONCATENATE($G96,"-",$F96,"-Couple Only"),'Look-ups'!$Y$4:$AG$35,8,FALSE)</f>
        <v>207.58</v>
      </c>
      <c r="AB96">
        <f>VLOOKUP(CONCATENATE($G96,"-",$F96,"-Couple Only"),'Look-ups'!$Y$4:$AG$35,9,FALSE)</f>
        <v>261.08000000000004</v>
      </c>
      <c r="AC96">
        <v>54</v>
      </c>
      <c r="AD96" t="s">
        <v>169</v>
      </c>
      <c r="AE96" s="287">
        <f>VLOOKUP($AD96,'Look-ups'!$A$122:$G$130,5,FALSE)</f>
        <v>0.12385321100917432</v>
      </c>
      <c r="AF96" s="287">
        <f>VLOOKUP($AD96,'Look-ups'!$A$122:$G$130,6,FALSE)</f>
        <v>0.28440366972477066</v>
      </c>
      <c r="AG96" s="287">
        <f>VLOOKUP($AD96,'Look-ups'!$A$122:$G$130,7,FALSE)</f>
        <v>0.59174311926605505</v>
      </c>
      <c r="AH96" s="291">
        <f>VLOOKUP($AC96,'Look-ups'!$A$50:$AO$118,'Look-ups'!$B$133*4,FALSE)*0.277778</f>
        <v>8.8894958662352064</v>
      </c>
      <c r="AI96" s="291">
        <f>VLOOKUP($AC96,'Look-ups'!$A$50:$AO$118,'Look-ups'!$B$133*4+1,FALSE)*0.277778</f>
        <v>18.610526133764793</v>
      </c>
      <c r="AJ96" s="291">
        <f>AE96*$AH96/'Look-ups'!$B$141</f>
        <v>1.4392060225960941</v>
      </c>
      <c r="AK96" s="291">
        <f>AF96*$AH96/'Look-ups'!$B$140</f>
        <v>3.4632948580280436</v>
      </c>
      <c r="AL96" s="291">
        <f>AG96*$AH96/'Look-ups'!$B$137</f>
        <v>1.0019615262073758</v>
      </c>
      <c r="AM96" s="291">
        <f>AI96/'Look-ups'!$B$136</f>
        <v>3.9180055018452196</v>
      </c>
      <c r="AN96" s="290">
        <f>AJ96*VLOOKUP($AD96,'Look-ups'!$A$123:$M$130,10,FALSE)</f>
        <v>0.39058452335455102</v>
      </c>
      <c r="AO96" s="290">
        <f>AK96*VLOOKUP($AD96,'Look-ups'!$A$123:$M$130,9,FALSE)</f>
        <v>2.0095699147810562</v>
      </c>
      <c r="AP96" s="290">
        <f>(AL96+AM96)*VLOOKUP($AD96,'Look-ups'!$A$123:$M$130,8,FALSE)</f>
        <v>1.5743894489768306</v>
      </c>
      <c r="AQ96" s="290">
        <f t="shared" si="2"/>
        <v>3.9745438871124374</v>
      </c>
      <c r="AR96" s="292">
        <f>AJ96*VLOOKUP($AD96,'Look-ups'!$A$123:$M$130,11,FALSE)</f>
        <v>6.2175441088501739E-3</v>
      </c>
      <c r="AS96" s="292">
        <f>AK96*VLOOKUP($AD96,'Look-ups'!$A$123:$M$130,12,FALSE)</f>
        <v>0.64248689215604671</v>
      </c>
      <c r="AT96" s="292">
        <f>(AL96+AM96)*VLOOKUP($AD96,'Look-ups'!$A$123:$M$130,13,FALSE)</f>
        <v>0.99383333966662435</v>
      </c>
      <c r="AU96" s="292">
        <f t="shared" si="3"/>
        <v>1.6425377759315212</v>
      </c>
    </row>
    <row r="97" spans="1:57" x14ac:dyDescent="0.25">
      <c r="A97">
        <v>5005</v>
      </c>
      <c r="B97" t="s">
        <v>385</v>
      </c>
      <c r="C97">
        <v>479.86689999999902</v>
      </c>
      <c r="D97">
        <v>12003</v>
      </c>
      <c r="E97">
        <v>25.013185948020222</v>
      </c>
      <c r="F97" t="s">
        <v>172</v>
      </c>
      <c r="G97" t="s">
        <v>169</v>
      </c>
      <c r="H97">
        <f>VLOOKUP(CONCATENATE($G97,"-",$F97,"-",$H$2),'Look-ups'!$O$3:$S$34,5,FALSE)*VLOOKUP(CONCATENATE($F97,"-",$H$2,"-",H$3),'Look-ups'!$I$3:$M$24,5,FALSE)</f>
        <v>256.66666666666663</v>
      </c>
      <c r="I97">
        <f>VLOOKUP(CONCATENATE($G97,"-",$F97,"-",$H$2),'Look-ups'!$O$3:$S$34,5,FALSE)*VLOOKUP(CONCATENATE($F97,"-",$H$2,"-",I$3),'Look-ups'!$I$3:$M$24,5,FALSE)</f>
        <v>385</v>
      </c>
      <c r="J97">
        <f>VLOOKUP(CONCATENATE($G97,"-",$F97,"-",$H$2),'Look-ups'!$O$3:$S$34,5,FALSE)*VLOOKUP(CONCATENATE($F97,"-",$H$2,"-",J$3),'Look-ups'!$I$3:$M$24,5,FALSE)</f>
        <v>449.16666666666669</v>
      </c>
      <c r="K97">
        <f>VLOOKUP(CONCATENATE($G97,"-",$F97,"-",$H$2),'Look-ups'!$O$3:$S$34,5,FALSE)*VLOOKUP(CONCATENATE($F97,"-",$H$2,"-",K$3),'Look-ups'!$I$3:$M$24,5,FALSE)</f>
        <v>577.5</v>
      </c>
      <c r="L97">
        <f>VLOOKUP(CONCATENATE($G97,"-",$F97,"-",$H$2),'Look-ups'!$O$3:$S$34,5,FALSE)*VLOOKUP(CONCATENATE($F97,"-",$H$2,"-",L$3),'Look-ups'!$I$3:$M$24,5,FALSE)</f>
        <v>641.66666666666674</v>
      </c>
      <c r="M97">
        <f>VLOOKUP(CONCATENATE($G97,"-",$F97,"-",$H$2),'Look-ups'!$O$3:$S$34,5,FALSE)*VLOOKUP(CONCATENATE($F97,"-",$H$2,"-",M$3),'Look-ups'!$I$3:$M$24,5,FALSE)</f>
        <v>705.83333333333326</v>
      </c>
      <c r="N97">
        <f>VLOOKUP(CONCATENATE($G97,"-",$F97,"-",$N$2),'Look-ups'!$O$3:$S$34,5,FALSE)*VLOOKUP(CONCATENATE($F97,"-",$N$2,"-",N$3),'Look-ups'!$I$3:$M$24,5,FALSE)</f>
        <v>258.75</v>
      </c>
      <c r="O97">
        <f>VLOOKUP(CONCATENATE($G97,"-",$F97,"-",$N$2),'Look-ups'!$O$3:$S$34,5,FALSE)*VLOOKUP(CONCATENATE($F97,"-",$N$2,"-",O$3),'Look-ups'!$I$3:$M$24,5,FALSE)</f>
        <v>258.75</v>
      </c>
      <c r="P97">
        <f>VLOOKUP(CONCATENATE($G97,"-",$F97,"-",$N$2),'Look-ups'!$O$3:$S$34,5,FALSE)*VLOOKUP(CONCATENATE($F97,"-",$N$2,"-",P$3),'Look-ups'!$I$3:$M$24,5,FALSE)</f>
        <v>345</v>
      </c>
      <c r="Q97">
        <f>VLOOKUP(CONCATENATE($G97,"-",$F97,"-",$N$2),'Look-ups'!$O$3:$S$34,5,FALSE)*VLOOKUP(CONCATENATE($F97,"-",$N$2,"-",Q$3),'Look-ups'!$I$3:$M$24,5,FALSE)</f>
        <v>443.57142857142861</v>
      </c>
      <c r="R97">
        <f>VLOOKUP(CONCATENATE($G97,"-",$F97,"-",$N$2),'Look-ups'!$O$3:$S$34,5,FALSE)*VLOOKUP(CONCATENATE($F97,"-",$N$2,"-",R$3),'Look-ups'!$I$3:$M$24,5,FALSE)</f>
        <v>505.17857142857139</v>
      </c>
      <c r="S97" s="117">
        <f>VLOOKUP(CONCATENATE($G97,"-",$F97,"-Lone Person"),'Look-ups'!$Y$4:$AG$35,5,FALSE)</f>
        <v>108.07000000000001</v>
      </c>
      <c r="T97">
        <f>VLOOKUP(CONCATENATE($G97,"-",$F97,"-Lone Person"),'Look-ups'!$Y$4:$AG$35,6,FALSE)</f>
        <v>155.15</v>
      </c>
      <c r="U97">
        <f>VLOOKUP(CONCATENATE($G97,"-",$F97,"-Lone Person"),'Look-ups'!$Y$4:$AG$35,7,FALSE)</f>
        <v>186.18</v>
      </c>
      <c r="V97">
        <f>VLOOKUP(CONCATENATE($G97,"-",$F97,"-Lone Person"),'Look-ups'!$Y$4:$AG$35,8,FALSE)</f>
        <v>227.91000000000003</v>
      </c>
      <c r="W97">
        <f>VLOOKUP(CONCATENATE($G97,"-",$F97,"-Lone Person"),'Look-ups'!$Y$4:$AG$35,9,FALSE)</f>
        <v>216.14000000000001</v>
      </c>
      <c r="X97" s="117">
        <f>VLOOKUP(CONCATENATE($G97,"-",$F97,"-Couple Only"),'Look-ups'!$Y$4:$AG$35,5,FALSE)</f>
        <v>175.48000000000002</v>
      </c>
      <c r="Y97">
        <f>VLOOKUP(CONCATENATE($G97,"-",$F97,"-Couple Only"),'Look-ups'!$Y$4:$AG$35,6,FALSE)</f>
        <v>165.85000000000002</v>
      </c>
      <c r="Z97">
        <f>VLOOKUP(CONCATENATE($G97,"-",$F97,"-Couple Only"),'Look-ups'!$Y$4:$AG$35,7,FALSE)</f>
        <v>187.25</v>
      </c>
      <c r="AA97">
        <f>VLOOKUP(CONCATENATE($G97,"-",$F97,"-Couple Only"),'Look-ups'!$Y$4:$AG$35,8,FALSE)</f>
        <v>207.58</v>
      </c>
      <c r="AB97">
        <f>VLOOKUP(CONCATENATE($G97,"-",$F97,"-Couple Only"),'Look-ups'!$Y$4:$AG$35,9,FALSE)</f>
        <v>261.08000000000004</v>
      </c>
      <c r="AC97">
        <v>55</v>
      </c>
      <c r="AD97" t="s">
        <v>169</v>
      </c>
      <c r="AE97" s="287">
        <f>VLOOKUP($AD97,'Look-ups'!$A$122:$G$130,5,FALSE)</f>
        <v>0.12385321100917432</v>
      </c>
      <c r="AF97" s="287">
        <f>VLOOKUP($AD97,'Look-ups'!$A$122:$G$130,6,FALSE)</f>
        <v>0.28440366972477066</v>
      </c>
      <c r="AG97" s="287">
        <f>VLOOKUP($AD97,'Look-ups'!$A$122:$G$130,7,FALSE)</f>
        <v>0.59174311926605505</v>
      </c>
      <c r="AH97" s="291">
        <f>VLOOKUP($AC97,'Look-ups'!$A$50:$AO$118,'Look-ups'!$B$133*4,FALSE)*0.277778</f>
        <v>25.749122030847595</v>
      </c>
      <c r="AI97" s="291">
        <f>VLOOKUP($AC97,'Look-ups'!$A$50:$AO$118,'Look-ups'!$B$133*4+1,FALSE)*0.277778</f>
        <v>9.8064619691524069</v>
      </c>
      <c r="AJ97" s="291">
        <f>AE97*$AH97/'Look-ups'!$B$141</f>
        <v>4.1687731296569241</v>
      </c>
      <c r="AK97" s="291">
        <f>AF97*$AH97/'Look-ups'!$B$140</f>
        <v>10.031705202416433</v>
      </c>
      <c r="AL97" s="291">
        <f>AG97*$AH97/'Look-ups'!$B$137</f>
        <v>2.9022601502659149</v>
      </c>
      <c r="AM97" s="291">
        <f>AI97/'Look-ups'!$B$136</f>
        <v>2.0645183092952437</v>
      </c>
      <c r="AN97" s="290">
        <f>AJ97*VLOOKUP($AD97,'Look-ups'!$A$123:$M$130,10,FALSE)</f>
        <v>1.1313587076874485</v>
      </c>
      <c r="AO97" s="290">
        <f>AK97*VLOOKUP($AD97,'Look-ups'!$A$123:$M$130,9,FALSE)</f>
        <v>5.8208768802917303</v>
      </c>
      <c r="AP97" s="290">
        <f>(AL97+AM97)*VLOOKUP($AD97,'Look-ups'!$A$123:$M$130,8,FALSE)</f>
        <v>1.5893691070595708</v>
      </c>
      <c r="AQ97" s="290">
        <f t="shared" si="2"/>
        <v>8.5416046950387496</v>
      </c>
      <c r="AR97" s="292">
        <f>AJ97*VLOOKUP($AD97,'Look-ups'!$A$123:$M$130,11,FALSE)</f>
        <v>1.8009604189035203E-2</v>
      </c>
      <c r="AS97" s="292">
        <f>AK97*VLOOKUP($AD97,'Look-ups'!$A$123:$M$130,12,FALSE)</f>
        <v>1.8610136770728258</v>
      </c>
      <c r="AT97" s="292">
        <f>(AL97+AM97)*VLOOKUP($AD97,'Look-ups'!$A$123:$M$130,13,FALSE)</f>
        <v>1.0032892488313541</v>
      </c>
      <c r="AU97" s="292">
        <f t="shared" si="3"/>
        <v>2.8823125300932153</v>
      </c>
    </row>
    <row r="98" spans="1:57" x14ac:dyDescent="0.25">
      <c r="A98">
        <v>5006</v>
      </c>
      <c r="B98" t="s">
        <v>386</v>
      </c>
      <c r="C98">
        <v>272.16039999999902</v>
      </c>
      <c r="D98">
        <v>38595</v>
      </c>
      <c r="E98">
        <v>141.80975630547331</v>
      </c>
      <c r="F98" t="s">
        <v>172</v>
      </c>
      <c r="G98" t="s">
        <v>169</v>
      </c>
      <c r="H98">
        <f>VLOOKUP(CONCATENATE($G98,"-",$F98,"-",$H$2),'Look-ups'!$O$3:$S$34,5,FALSE)*VLOOKUP(CONCATENATE($F98,"-",$H$2,"-",H$3),'Look-ups'!$I$3:$M$24,5,FALSE)</f>
        <v>256.66666666666663</v>
      </c>
      <c r="I98">
        <f>VLOOKUP(CONCATENATE($G98,"-",$F98,"-",$H$2),'Look-ups'!$O$3:$S$34,5,FALSE)*VLOOKUP(CONCATENATE($F98,"-",$H$2,"-",I$3),'Look-ups'!$I$3:$M$24,5,FALSE)</f>
        <v>385</v>
      </c>
      <c r="J98">
        <f>VLOOKUP(CONCATENATE($G98,"-",$F98,"-",$H$2),'Look-ups'!$O$3:$S$34,5,FALSE)*VLOOKUP(CONCATENATE($F98,"-",$H$2,"-",J$3),'Look-ups'!$I$3:$M$24,5,FALSE)</f>
        <v>449.16666666666669</v>
      </c>
      <c r="K98">
        <f>VLOOKUP(CONCATENATE($G98,"-",$F98,"-",$H$2),'Look-ups'!$O$3:$S$34,5,FALSE)*VLOOKUP(CONCATENATE($F98,"-",$H$2,"-",K$3),'Look-ups'!$I$3:$M$24,5,FALSE)</f>
        <v>577.5</v>
      </c>
      <c r="L98">
        <f>VLOOKUP(CONCATENATE($G98,"-",$F98,"-",$H$2),'Look-ups'!$O$3:$S$34,5,FALSE)*VLOOKUP(CONCATENATE($F98,"-",$H$2,"-",L$3),'Look-ups'!$I$3:$M$24,5,FALSE)</f>
        <v>641.66666666666674</v>
      </c>
      <c r="M98">
        <f>VLOOKUP(CONCATENATE($G98,"-",$F98,"-",$H$2),'Look-ups'!$O$3:$S$34,5,FALSE)*VLOOKUP(CONCATENATE($F98,"-",$H$2,"-",M$3),'Look-ups'!$I$3:$M$24,5,FALSE)</f>
        <v>705.83333333333326</v>
      </c>
      <c r="N98">
        <f>VLOOKUP(CONCATENATE($G98,"-",$F98,"-",$N$2),'Look-ups'!$O$3:$S$34,5,FALSE)*VLOOKUP(CONCATENATE($F98,"-",$N$2,"-",N$3),'Look-ups'!$I$3:$M$24,5,FALSE)</f>
        <v>258.75</v>
      </c>
      <c r="O98">
        <f>VLOOKUP(CONCATENATE($G98,"-",$F98,"-",$N$2),'Look-ups'!$O$3:$S$34,5,FALSE)*VLOOKUP(CONCATENATE($F98,"-",$N$2,"-",O$3),'Look-ups'!$I$3:$M$24,5,FALSE)</f>
        <v>258.75</v>
      </c>
      <c r="P98">
        <f>VLOOKUP(CONCATENATE($G98,"-",$F98,"-",$N$2),'Look-ups'!$O$3:$S$34,5,FALSE)*VLOOKUP(CONCATENATE($F98,"-",$N$2,"-",P$3),'Look-ups'!$I$3:$M$24,5,FALSE)</f>
        <v>345</v>
      </c>
      <c r="Q98">
        <f>VLOOKUP(CONCATENATE($G98,"-",$F98,"-",$N$2),'Look-ups'!$O$3:$S$34,5,FALSE)*VLOOKUP(CONCATENATE($F98,"-",$N$2,"-",Q$3),'Look-ups'!$I$3:$M$24,5,FALSE)</f>
        <v>443.57142857142861</v>
      </c>
      <c r="R98">
        <f>VLOOKUP(CONCATENATE($G98,"-",$F98,"-",$N$2),'Look-ups'!$O$3:$S$34,5,FALSE)*VLOOKUP(CONCATENATE($F98,"-",$N$2,"-",R$3),'Look-ups'!$I$3:$M$24,5,FALSE)</f>
        <v>505.17857142857139</v>
      </c>
      <c r="S98" s="117">
        <f>VLOOKUP(CONCATENATE($G98,"-",$F98,"-Lone Person"),'Look-ups'!$Y$4:$AG$35,5,FALSE)</f>
        <v>108.07000000000001</v>
      </c>
      <c r="T98">
        <f>VLOOKUP(CONCATENATE($G98,"-",$F98,"-Lone Person"),'Look-ups'!$Y$4:$AG$35,6,FALSE)</f>
        <v>155.15</v>
      </c>
      <c r="U98">
        <f>VLOOKUP(CONCATENATE($G98,"-",$F98,"-Lone Person"),'Look-ups'!$Y$4:$AG$35,7,FALSE)</f>
        <v>186.18</v>
      </c>
      <c r="V98">
        <f>VLOOKUP(CONCATENATE($G98,"-",$F98,"-Lone Person"),'Look-ups'!$Y$4:$AG$35,8,FALSE)</f>
        <v>227.91000000000003</v>
      </c>
      <c r="W98">
        <f>VLOOKUP(CONCATENATE($G98,"-",$F98,"-Lone Person"),'Look-ups'!$Y$4:$AG$35,9,FALSE)</f>
        <v>216.14000000000001</v>
      </c>
      <c r="X98" s="117">
        <f>VLOOKUP(CONCATENATE($G98,"-",$F98,"-Couple Only"),'Look-ups'!$Y$4:$AG$35,5,FALSE)</f>
        <v>175.48000000000002</v>
      </c>
      <c r="Y98">
        <f>VLOOKUP(CONCATENATE($G98,"-",$F98,"-Couple Only"),'Look-ups'!$Y$4:$AG$35,6,FALSE)</f>
        <v>165.85000000000002</v>
      </c>
      <c r="Z98">
        <f>VLOOKUP(CONCATENATE($G98,"-",$F98,"-Couple Only"),'Look-ups'!$Y$4:$AG$35,7,FALSE)</f>
        <v>187.25</v>
      </c>
      <c r="AA98">
        <f>VLOOKUP(CONCATENATE($G98,"-",$F98,"-Couple Only"),'Look-ups'!$Y$4:$AG$35,8,FALSE)</f>
        <v>207.58</v>
      </c>
      <c r="AB98">
        <f>VLOOKUP(CONCATENATE($G98,"-",$F98,"-Couple Only"),'Look-ups'!$Y$4:$AG$35,9,FALSE)</f>
        <v>261.08000000000004</v>
      </c>
      <c r="AC98">
        <v>12</v>
      </c>
      <c r="AD98" t="s">
        <v>169</v>
      </c>
      <c r="AE98" s="287">
        <f>VLOOKUP($AD98,'Look-ups'!$A$122:$G$130,5,FALSE)</f>
        <v>0.12385321100917432</v>
      </c>
      <c r="AF98" s="287">
        <f>VLOOKUP($AD98,'Look-ups'!$A$122:$G$130,6,FALSE)</f>
        <v>0.28440366972477066</v>
      </c>
      <c r="AG98" s="287">
        <f>VLOOKUP($AD98,'Look-ups'!$A$122:$G$130,7,FALSE)</f>
        <v>0.59174311926605505</v>
      </c>
      <c r="AH98" s="291">
        <f>VLOOKUP($AC98,'Look-ups'!$A$50:$AO$118,'Look-ups'!$B$133*4,FALSE)*0.277778</f>
        <v>5.7385794293694889</v>
      </c>
      <c r="AI98" s="291">
        <f>VLOOKUP($AC98,'Look-ups'!$A$50:$AO$118,'Look-ups'!$B$133*4+1,FALSE)*0.277778</f>
        <v>27.594780570630515</v>
      </c>
      <c r="AJ98" s="291">
        <f>AE98*$AH98/'Look-ups'!$B$141</f>
        <v>0.92907384177595631</v>
      </c>
      <c r="AK98" s="291">
        <f>AF98*$AH98/'Look-ups'!$B$140</f>
        <v>2.2357165050955659</v>
      </c>
      <c r="AL98" s="291">
        <f>AG98*$AH98/'Look-ups'!$B$137</f>
        <v>0.64681236032211809</v>
      </c>
      <c r="AM98" s="291">
        <f>AI98/'Look-ups'!$B$136</f>
        <v>5.8094274885537924</v>
      </c>
      <c r="AN98" s="290">
        <f>AJ98*VLOOKUP($AD98,'Look-ups'!$A$123:$M$130,10,FALSE)</f>
        <v>0.25214031761530808</v>
      </c>
      <c r="AO98" s="290">
        <f>AK98*VLOOKUP($AD98,'Look-ups'!$A$123:$M$130,9,FALSE)</f>
        <v>1.297270030648692</v>
      </c>
      <c r="AP98" s="290">
        <f>(AL98+AM98)*VLOOKUP($AD98,'Look-ups'!$A$123:$M$130,8,FALSE)</f>
        <v>2.0659967516402911</v>
      </c>
      <c r="AQ98" s="290">
        <f t="shared" si="2"/>
        <v>3.6154070999042913</v>
      </c>
      <c r="AR98" s="292">
        <f>AJ98*VLOOKUP($AD98,'Look-ups'!$A$123:$M$130,11,FALSE)</f>
        <v>4.0137113803907819E-3</v>
      </c>
      <c r="AS98" s="292">
        <f>AK98*VLOOKUP($AD98,'Look-ups'!$A$123:$M$130,12,FALSE)</f>
        <v>0.4147549105647641</v>
      </c>
      <c r="AT98" s="292">
        <f>(AL98+AM98)*VLOOKUP($AD98,'Look-ups'!$A$123:$M$130,13,FALSE)</f>
        <v>1.304160449472934</v>
      </c>
      <c r="AU98" s="292">
        <f t="shared" si="3"/>
        <v>1.7229290714180889</v>
      </c>
    </row>
    <row r="99" spans="1:57" x14ac:dyDescent="0.25">
      <c r="A99">
        <v>5007</v>
      </c>
      <c r="B99" t="s">
        <v>387</v>
      </c>
      <c r="C99">
        <v>75.097700000000003</v>
      </c>
      <c r="D99">
        <v>29072</v>
      </c>
      <c r="E99">
        <v>387.12237525250441</v>
      </c>
      <c r="F99" t="s">
        <v>172</v>
      </c>
      <c r="G99" t="s">
        <v>169</v>
      </c>
      <c r="H99">
        <f>VLOOKUP(CONCATENATE($G99,"-",$F99,"-",$H$2),'Look-ups'!$O$3:$S$34,5,FALSE)*VLOOKUP(CONCATENATE($F99,"-",$H$2,"-",H$3),'Look-ups'!$I$3:$M$24,5,FALSE)</f>
        <v>256.66666666666663</v>
      </c>
      <c r="I99">
        <f>VLOOKUP(CONCATENATE($G99,"-",$F99,"-",$H$2),'Look-ups'!$O$3:$S$34,5,FALSE)*VLOOKUP(CONCATENATE($F99,"-",$H$2,"-",I$3),'Look-ups'!$I$3:$M$24,5,FALSE)</f>
        <v>385</v>
      </c>
      <c r="J99">
        <f>VLOOKUP(CONCATENATE($G99,"-",$F99,"-",$H$2),'Look-ups'!$O$3:$S$34,5,FALSE)*VLOOKUP(CONCATENATE($F99,"-",$H$2,"-",J$3),'Look-ups'!$I$3:$M$24,5,FALSE)</f>
        <v>449.16666666666669</v>
      </c>
      <c r="K99">
        <f>VLOOKUP(CONCATENATE($G99,"-",$F99,"-",$H$2),'Look-ups'!$O$3:$S$34,5,FALSE)*VLOOKUP(CONCATENATE($F99,"-",$H$2,"-",K$3),'Look-ups'!$I$3:$M$24,5,FALSE)</f>
        <v>577.5</v>
      </c>
      <c r="L99">
        <f>VLOOKUP(CONCATENATE($G99,"-",$F99,"-",$H$2),'Look-ups'!$O$3:$S$34,5,FALSE)*VLOOKUP(CONCATENATE($F99,"-",$H$2,"-",L$3),'Look-ups'!$I$3:$M$24,5,FALSE)</f>
        <v>641.66666666666674</v>
      </c>
      <c r="M99">
        <f>VLOOKUP(CONCATENATE($G99,"-",$F99,"-",$H$2),'Look-ups'!$O$3:$S$34,5,FALSE)*VLOOKUP(CONCATENATE($F99,"-",$H$2,"-",M$3),'Look-ups'!$I$3:$M$24,5,FALSE)</f>
        <v>705.83333333333326</v>
      </c>
      <c r="N99">
        <f>VLOOKUP(CONCATENATE($G99,"-",$F99,"-",$N$2),'Look-ups'!$O$3:$S$34,5,FALSE)*VLOOKUP(CONCATENATE($F99,"-",$N$2,"-",N$3),'Look-ups'!$I$3:$M$24,5,FALSE)</f>
        <v>258.75</v>
      </c>
      <c r="O99">
        <f>VLOOKUP(CONCATENATE($G99,"-",$F99,"-",$N$2),'Look-ups'!$O$3:$S$34,5,FALSE)*VLOOKUP(CONCATENATE($F99,"-",$N$2,"-",O$3),'Look-ups'!$I$3:$M$24,5,FALSE)</f>
        <v>258.75</v>
      </c>
      <c r="P99">
        <f>VLOOKUP(CONCATENATE($G99,"-",$F99,"-",$N$2),'Look-ups'!$O$3:$S$34,5,FALSE)*VLOOKUP(CONCATENATE($F99,"-",$N$2,"-",P$3),'Look-ups'!$I$3:$M$24,5,FALSE)</f>
        <v>345</v>
      </c>
      <c r="Q99">
        <f>VLOOKUP(CONCATENATE($G99,"-",$F99,"-",$N$2),'Look-ups'!$O$3:$S$34,5,FALSE)*VLOOKUP(CONCATENATE($F99,"-",$N$2,"-",Q$3),'Look-ups'!$I$3:$M$24,5,FALSE)</f>
        <v>443.57142857142861</v>
      </c>
      <c r="R99">
        <f>VLOOKUP(CONCATENATE($G99,"-",$F99,"-",$N$2),'Look-ups'!$O$3:$S$34,5,FALSE)*VLOOKUP(CONCATENATE($F99,"-",$N$2,"-",R$3),'Look-ups'!$I$3:$M$24,5,FALSE)</f>
        <v>505.17857142857139</v>
      </c>
      <c r="S99" s="117">
        <f>VLOOKUP(CONCATENATE($G99,"-",$F99,"-Lone Person"),'Look-ups'!$Y$4:$AG$35,5,FALSE)</f>
        <v>108.07000000000001</v>
      </c>
      <c r="T99">
        <f>VLOOKUP(CONCATENATE($G99,"-",$F99,"-Lone Person"),'Look-ups'!$Y$4:$AG$35,6,FALSE)</f>
        <v>155.15</v>
      </c>
      <c r="U99">
        <f>VLOOKUP(CONCATENATE($G99,"-",$F99,"-Lone Person"),'Look-ups'!$Y$4:$AG$35,7,FALSE)</f>
        <v>186.18</v>
      </c>
      <c r="V99">
        <f>VLOOKUP(CONCATENATE($G99,"-",$F99,"-Lone Person"),'Look-ups'!$Y$4:$AG$35,8,FALSE)</f>
        <v>227.91000000000003</v>
      </c>
      <c r="W99">
        <f>VLOOKUP(CONCATENATE($G99,"-",$F99,"-Lone Person"),'Look-ups'!$Y$4:$AG$35,9,FALSE)</f>
        <v>216.14000000000001</v>
      </c>
      <c r="X99" s="117">
        <f>VLOOKUP(CONCATENATE($G99,"-",$F99,"-Couple Only"),'Look-ups'!$Y$4:$AG$35,5,FALSE)</f>
        <v>175.48000000000002</v>
      </c>
      <c r="Y99">
        <f>VLOOKUP(CONCATENATE($G99,"-",$F99,"-Couple Only"),'Look-ups'!$Y$4:$AG$35,6,FALSE)</f>
        <v>165.85000000000002</v>
      </c>
      <c r="Z99">
        <f>VLOOKUP(CONCATENATE($G99,"-",$F99,"-Couple Only"),'Look-ups'!$Y$4:$AG$35,7,FALSE)</f>
        <v>187.25</v>
      </c>
      <c r="AA99">
        <f>VLOOKUP(CONCATENATE($G99,"-",$F99,"-Couple Only"),'Look-ups'!$Y$4:$AG$35,8,FALSE)</f>
        <v>207.58</v>
      </c>
      <c r="AB99">
        <f>VLOOKUP(CONCATENATE($G99,"-",$F99,"-Couple Only"),'Look-ups'!$Y$4:$AG$35,9,FALSE)</f>
        <v>261.08000000000004</v>
      </c>
      <c r="AC99">
        <v>44</v>
      </c>
      <c r="AD99" t="s">
        <v>169</v>
      </c>
      <c r="AE99" s="287">
        <f>VLOOKUP($AD99,'Look-ups'!$A$122:$G$130,5,FALSE)</f>
        <v>0.12385321100917432</v>
      </c>
      <c r="AF99" s="287">
        <f>VLOOKUP($AD99,'Look-ups'!$A$122:$G$130,6,FALSE)</f>
        <v>0.28440366972477066</v>
      </c>
      <c r="AG99" s="287">
        <f>VLOOKUP($AD99,'Look-ups'!$A$122:$G$130,7,FALSE)</f>
        <v>0.59174311926605505</v>
      </c>
      <c r="AH99" s="291">
        <f>VLOOKUP($AC99,'Look-ups'!$A$50:$AO$118,'Look-ups'!$B$133*4,FALSE)*0.277778</f>
        <v>21.475760784692461</v>
      </c>
      <c r="AI99" s="291">
        <f>VLOOKUP($AC99,'Look-ups'!$A$50:$AO$118,'Look-ups'!$B$133*4+1,FALSE)*0.277778</f>
        <v>37.413175215307547</v>
      </c>
      <c r="AJ99" s="291">
        <f>AE99*$AH99/'Look-ups'!$B$141</f>
        <v>3.4769175582340743</v>
      </c>
      <c r="AK99" s="291">
        <f>AF99*$AH99/'Look-ups'!$B$140</f>
        <v>8.3668290099970637</v>
      </c>
      <c r="AL99" s="291">
        <f>AG99*$AH99/'Look-ups'!$B$137</f>
        <v>2.4205968905420074</v>
      </c>
      <c r="AM99" s="291">
        <f>AI99/'Look-ups'!$B$136</f>
        <v>7.8764579400647463</v>
      </c>
      <c r="AN99" s="290">
        <f>AJ99*VLOOKUP($AD99,'Look-ups'!$A$123:$M$130,10,FALSE)</f>
        <v>0.94359679288741394</v>
      </c>
      <c r="AO99" s="290">
        <f>AK99*VLOOKUP($AD99,'Look-ups'!$A$123:$M$130,9,FALSE)</f>
        <v>4.8548357993927764</v>
      </c>
      <c r="AP99" s="290">
        <f>(AL99+AM99)*VLOOKUP($AD99,'Look-ups'!$A$123:$M$130,8,FALSE)</f>
        <v>3.2950575457941613</v>
      </c>
      <c r="AQ99" s="290">
        <f t="shared" si="2"/>
        <v>9.0934901380743511</v>
      </c>
      <c r="AR99" s="292">
        <f>AJ99*VLOOKUP($AD99,'Look-ups'!$A$123:$M$130,11,FALSE)</f>
        <v>1.5020704431295277E-2</v>
      </c>
      <c r="AS99" s="292">
        <f>AK99*VLOOKUP($AD99,'Look-ups'!$A$123:$M$130,12,FALSE)</f>
        <v>1.5521571763874742</v>
      </c>
      <c r="AT99" s="292">
        <f>(AL99+AM99)*VLOOKUP($AD99,'Look-ups'!$A$123:$M$130,13,FALSE)</f>
        <v>2.0800050757825645</v>
      </c>
      <c r="AU99" s="292">
        <f t="shared" si="3"/>
        <v>3.6471829566013341</v>
      </c>
    </row>
    <row r="100" spans="1:57" x14ac:dyDescent="0.25">
      <c r="A100">
        <v>5008</v>
      </c>
      <c r="B100" t="s">
        <v>388</v>
      </c>
      <c r="C100">
        <v>134.20410000000001</v>
      </c>
      <c r="D100">
        <v>17013</v>
      </c>
      <c r="E100">
        <v>126.76959943846722</v>
      </c>
      <c r="F100" t="s">
        <v>172</v>
      </c>
      <c r="G100" t="s">
        <v>169</v>
      </c>
      <c r="H100">
        <f>VLOOKUP(CONCATENATE($G100,"-",$F100,"-",$H$2),'Look-ups'!$O$3:$S$34,5,FALSE)*VLOOKUP(CONCATENATE($F100,"-",$H$2,"-",H$3),'Look-ups'!$I$3:$M$24,5,FALSE)</f>
        <v>256.66666666666663</v>
      </c>
      <c r="I100">
        <f>VLOOKUP(CONCATENATE($G100,"-",$F100,"-",$H$2),'Look-ups'!$O$3:$S$34,5,FALSE)*VLOOKUP(CONCATENATE($F100,"-",$H$2,"-",I$3),'Look-ups'!$I$3:$M$24,5,FALSE)</f>
        <v>385</v>
      </c>
      <c r="J100">
        <f>VLOOKUP(CONCATENATE($G100,"-",$F100,"-",$H$2),'Look-ups'!$O$3:$S$34,5,FALSE)*VLOOKUP(CONCATENATE($F100,"-",$H$2,"-",J$3),'Look-ups'!$I$3:$M$24,5,FALSE)</f>
        <v>449.16666666666669</v>
      </c>
      <c r="K100">
        <f>VLOOKUP(CONCATENATE($G100,"-",$F100,"-",$H$2),'Look-ups'!$O$3:$S$34,5,FALSE)*VLOOKUP(CONCATENATE($F100,"-",$H$2,"-",K$3),'Look-ups'!$I$3:$M$24,5,FALSE)</f>
        <v>577.5</v>
      </c>
      <c r="L100">
        <f>VLOOKUP(CONCATENATE($G100,"-",$F100,"-",$H$2),'Look-ups'!$O$3:$S$34,5,FALSE)*VLOOKUP(CONCATENATE($F100,"-",$H$2,"-",L$3),'Look-ups'!$I$3:$M$24,5,FALSE)</f>
        <v>641.66666666666674</v>
      </c>
      <c r="M100">
        <f>VLOOKUP(CONCATENATE($G100,"-",$F100,"-",$H$2),'Look-ups'!$O$3:$S$34,5,FALSE)*VLOOKUP(CONCATENATE($F100,"-",$H$2,"-",M$3),'Look-ups'!$I$3:$M$24,5,FALSE)</f>
        <v>705.83333333333326</v>
      </c>
      <c r="N100">
        <f>VLOOKUP(CONCATENATE($G100,"-",$F100,"-",$N$2),'Look-ups'!$O$3:$S$34,5,FALSE)*VLOOKUP(CONCATENATE($F100,"-",$N$2,"-",N$3),'Look-ups'!$I$3:$M$24,5,FALSE)</f>
        <v>258.75</v>
      </c>
      <c r="O100">
        <f>VLOOKUP(CONCATENATE($G100,"-",$F100,"-",$N$2),'Look-ups'!$O$3:$S$34,5,FALSE)*VLOOKUP(CONCATENATE($F100,"-",$N$2,"-",O$3),'Look-ups'!$I$3:$M$24,5,FALSE)</f>
        <v>258.75</v>
      </c>
      <c r="P100">
        <f>VLOOKUP(CONCATENATE($G100,"-",$F100,"-",$N$2),'Look-ups'!$O$3:$S$34,5,FALSE)*VLOOKUP(CONCATENATE($F100,"-",$N$2,"-",P$3),'Look-ups'!$I$3:$M$24,5,FALSE)</f>
        <v>345</v>
      </c>
      <c r="Q100">
        <f>VLOOKUP(CONCATENATE($G100,"-",$F100,"-",$N$2),'Look-ups'!$O$3:$S$34,5,FALSE)*VLOOKUP(CONCATENATE($F100,"-",$N$2,"-",Q$3),'Look-ups'!$I$3:$M$24,5,FALSE)</f>
        <v>443.57142857142861</v>
      </c>
      <c r="R100">
        <f>VLOOKUP(CONCATENATE($G100,"-",$F100,"-",$N$2),'Look-ups'!$O$3:$S$34,5,FALSE)*VLOOKUP(CONCATENATE($F100,"-",$N$2,"-",R$3),'Look-ups'!$I$3:$M$24,5,FALSE)</f>
        <v>505.17857142857139</v>
      </c>
      <c r="S100" s="117">
        <f>VLOOKUP(CONCATENATE($G100,"-",$F100,"-Lone Person"),'Look-ups'!$Y$4:$AG$35,5,FALSE)</f>
        <v>108.07000000000001</v>
      </c>
      <c r="T100">
        <f>VLOOKUP(CONCATENATE($G100,"-",$F100,"-Lone Person"),'Look-ups'!$Y$4:$AG$35,6,FALSE)</f>
        <v>155.15</v>
      </c>
      <c r="U100">
        <f>VLOOKUP(CONCATENATE($G100,"-",$F100,"-Lone Person"),'Look-ups'!$Y$4:$AG$35,7,FALSE)</f>
        <v>186.18</v>
      </c>
      <c r="V100">
        <f>VLOOKUP(CONCATENATE($G100,"-",$F100,"-Lone Person"),'Look-ups'!$Y$4:$AG$35,8,FALSE)</f>
        <v>227.91000000000003</v>
      </c>
      <c r="W100">
        <f>VLOOKUP(CONCATENATE($G100,"-",$F100,"-Lone Person"),'Look-ups'!$Y$4:$AG$35,9,FALSE)</f>
        <v>216.14000000000001</v>
      </c>
      <c r="X100" s="117">
        <f>VLOOKUP(CONCATENATE($G100,"-",$F100,"-Couple Only"),'Look-ups'!$Y$4:$AG$35,5,FALSE)</f>
        <v>175.48000000000002</v>
      </c>
      <c r="Y100">
        <f>VLOOKUP(CONCATENATE($G100,"-",$F100,"-Couple Only"),'Look-ups'!$Y$4:$AG$35,6,FALSE)</f>
        <v>165.85000000000002</v>
      </c>
      <c r="Z100">
        <f>VLOOKUP(CONCATENATE($G100,"-",$F100,"-Couple Only"),'Look-ups'!$Y$4:$AG$35,7,FALSE)</f>
        <v>187.25</v>
      </c>
      <c r="AA100">
        <f>VLOOKUP(CONCATENATE($G100,"-",$F100,"-Couple Only"),'Look-ups'!$Y$4:$AG$35,8,FALSE)</f>
        <v>207.58</v>
      </c>
      <c r="AB100">
        <f>VLOOKUP(CONCATENATE($G100,"-",$F100,"-Couple Only"),'Look-ups'!$Y$4:$AG$35,9,FALSE)</f>
        <v>261.08000000000004</v>
      </c>
      <c r="AC100">
        <v>2</v>
      </c>
      <c r="AD100" t="s">
        <v>169</v>
      </c>
      <c r="AE100" s="287">
        <f>VLOOKUP($AD100,'Look-ups'!$A$122:$G$130,5,FALSE)</f>
        <v>0.12385321100917432</v>
      </c>
      <c r="AF100" s="287">
        <f>VLOOKUP($AD100,'Look-ups'!$A$122:$G$130,6,FALSE)</f>
        <v>0.28440366972477066</v>
      </c>
      <c r="AG100" s="287">
        <f>VLOOKUP($AD100,'Look-ups'!$A$122:$G$130,7,FALSE)</f>
        <v>0.59174311926605505</v>
      </c>
      <c r="AH100" s="291">
        <f>VLOOKUP($AC100,'Look-ups'!$A$50:$AO$118,'Look-ups'!$B$133*4,FALSE)*0.277778</f>
        <v>0.13929958473849921</v>
      </c>
      <c r="AI100" s="291">
        <f>VLOOKUP($AC100,'Look-ups'!$A$50:$AO$118,'Look-ups'!$B$133*4+1,FALSE)*0.277778</f>
        <v>112.3607904152615</v>
      </c>
      <c r="AJ100" s="291">
        <f>AE100*$AH100/'Look-ups'!$B$141</f>
        <v>2.2552550146546016E-2</v>
      </c>
      <c r="AK100" s="291">
        <f>AF100*$AH100/'Look-ups'!$B$140</f>
        <v>5.4270291905158675E-2</v>
      </c>
      <c r="AL100" s="291">
        <f>AG100*$AH100/'Look-ups'!$B$137</f>
        <v>1.5700870625833464E-2</v>
      </c>
      <c r="AM100" s="291">
        <f>AI100/'Look-ups'!$B$136</f>
        <v>23.654903245318213</v>
      </c>
      <c r="AN100" s="290">
        <f>AJ100*VLOOKUP($AD100,'Look-ups'!$A$123:$M$130,10,FALSE)</f>
        <v>6.1205115258820709E-3</v>
      </c>
      <c r="AO100" s="290">
        <f>AK100*VLOOKUP($AD100,'Look-ups'!$A$123:$M$130,9,FALSE)</f>
        <v>3.1490228337384511E-2</v>
      </c>
      <c r="AP100" s="290">
        <f>(AL100+AM100)*VLOOKUP($AD100,'Look-ups'!$A$123:$M$130,8,FALSE)</f>
        <v>7.574593317102094</v>
      </c>
      <c r="AQ100" s="290">
        <f t="shared" si="2"/>
        <v>7.6122040569653606</v>
      </c>
      <c r="AR100" s="292">
        <f>AJ100*VLOOKUP($AD100,'Look-ups'!$A$123:$M$130,11,FALSE)</f>
        <v>9.7429744665929429E-5</v>
      </c>
      <c r="AS100" s="292">
        <f>AK100*VLOOKUP($AD100,'Look-ups'!$A$123:$M$130,12,FALSE)</f>
        <v>1.0067855210688075E-2</v>
      </c>
      <c r="AT100" s="292">
        <f>(AL100+AM100)*VLOOKUP($AD100,'Look-ups'!$A$123:$M$130,13,FALSE)</f>
        <v>4.7814620314206975</v>
      </c>
      <c r="AU100" s="292">
        <f t="shared" si="3"/>
        <v>4.7916273163760517</v>
      </c>
    </row>
    <row r="101" spans="1:57" x14ac:dyDescent="0.25">
      <c r="A101">
        <v>5009</v>
      </c>
      <c r="B101" t="s">
        <v>389</v>
      </c>
      <c r="C101">
        <v>3893.1280999999899</v>
      </c>
      <c r="D101">
        <v>2098239</v>
      </c>
      <c r="E101">
        <v>538.95966074170678</v>
      </c>
      <c r="F101" t="s">
        <v>171</v>
      </c>
      <c r="G101" t="s">
        <v>169</v>
      </c>
      <c r="H101">
        <f>VLOOKUP(CONCATENATE($G101,"-",$F101,"-",$H$2),'Look-ups'!$O$3:$S$34,5,FALSE)*VLOOKUP(CONCATENATE($F101,"-",$H$2,"-",H$3),'Look-ups'!$I$3:$M$24,5,FALSE)</f>
        <v>284.02777777777777</v>
      </c>
      <c r="I101">
        <f>VLOOKUP(CONCATENATE($G101,"-",$F101,"-",$H$2),'Look-ups'!$O$3:$S$34,5,FALSE)*VLOOKUP(CONCATENATE($F101,"-",$H$2,"-",I$3),'Look-ups'!$I$3:$M$24,5,FALSE)</f>
        <v>409</v>
      </c>
      <c r="J101">
        <f>VLOOKUP(CONCATENATE($G101,"-",$F101,"-",$H$2),'Look-ups'!$O$3:$S$34,5,FALSE)*VLOOKUP(CONCATENATE($F101,"-",$H$2,"-",J$3),'Look-ups'!$I$3:$M$24,5,FALSE)</f>
        <v>499.88888888888891</v>
      </c>
      <c r="K101">
        <f>VLOOKUP(CONCATENATE($G101,"-",$F101,"-",$H$2),'Look-ups'!$O$3:$S$34,5,FALSE)*VLOOKUP(CONCATENATE($F101,"-",$H$2,"-",K$3),'Look-ups'!$I$3:$M$24,5,FALSE)</f>
        <v>636.22222222222229</v>
      </c>
      <c r="L101">
        <f>VLOOKUP(CONCATENATE($G101,"-",$F101,"-",$H$2),'Look-ups'!$O$3:$S$34,5,FALSE)*VLOOKUP(CONCATENATE($F101,"-",$H$2,"-",L$3),'Look-ups'!$I$3:$M$24,5,FALSE)</f>
        <v>766.875</v>
      </c>
      <c r="M101">
        <f>VLOOKUP(CONCATENATE($G101,"-",$F101,"-",$H$2),'Look-ups'!$O$3:$S$34,5,FALSE)*VLOOKUP(CONCATENATE($F101,"-",$H$2,"-",M$3),'Look-ups'!$I$3:$M$24,5,FALSE)</f>
        <v>852.08333333333337</v>
      </c>
      <c r="N101">
        <f>VLOOKUP(CONCATENATE($G101,"-",$F101,"-",$N$2),'Look-ups'!$O$3:$S$34,5,FALSE)*VLOOKUP(CONCATENATE($F101,"-",$N$2,"-",N$3),'Look-ups'!$I$3:$M$24,5,FALSE)</f>
        <v>223.94666666666669</v>
      </c>
      <c r="O101">
        <f>VLOOKUP(CONCATENATE($G101,"-",$F101,"-",$N$2),'Look-ups'!$O$3:$S$34,5,FALSE)*VLOOKUP(CONCATENATE($F101,"-",$N$2,"-",O$3),'Look-ups'!$I$3:$M$24,5,FALSE)</f>
        <v>301.4666666666667</v>
      </c>
      <c r="P101">
        <f>VLOOKUP(CONCATENATE($G101,"-",$F101,"-",$N$2),'Look-ups'!$O$3:$S$34,5,FALSE)*VLOOKUP(CONCATENATE($F101,"-",$N$2,"-",P$3),'Look-ups'!$I$3:$M$24,5,FALSE)</f>
        <v>323</v>
      </c>
      <c r="Q101">
        <f>VLOOKUP(CONCATENATE($G101,"-",$F101,"-",$N$2),'Look-ups'!$O$3:$S$34,5,FALSE)*VLOOKUP(CONCATENATE($F101,"-",$N$2,"-",Q$3),'Look-ups'!$I$3:$M$24,5,FALSE)</f>
        <v>422.05333333333334</v>
      </c>
      <c r="R101">
        <f>VLOOKUP(CONCATENATE($G101,"-",$F101,"-",$N$2),'Look-ups'!$O$3:$S$34,5,FALSE)*VLOOKUP(CONCATENATE($F101,"-",$N$2,"-",R$3),'Look-ups'!$I$3:$M$24,5,FALSE)</f>
        <v>473.73333333333329</v>
      </c>
      <c r="S101" s="117">
        <f>VLOOKUP(CONCATENATE($G101,"-",$F101,"-Lone Person"),'Look-ups'!$Y$4:$AG$35,5,FALSE)</f>
        <v>105.93</v>
      </c>
      <c r="T101">
        <f>VLOOKUP(CONCATENATE($G101,"-",$F101,"-Lone Person"),'Look-ups'!$Y$4:$AG$35,6,FALSE)</f>
        <v>151.94</v>
      </c>
      <c r="U101">
        <f>VLOOKUP(CONCATENATE($G101,"-",$F101,"-Lone Person"),'Look-ups'!$Y$4:$AG$35,7,FALSE)</f>
        <v>181.9</v>
      </c>
      <c r="V101">
        <f>VLOOKUP(CONCATENATE($G101,"-",$F101,"-Lone Person"),'Look-ups'!$Y$4:$AG$35,8,FALSE)</f>
        <v>222.56</v>
      </c>
      <c r="W101">
        <f>VLOOKUP(CONCATENATE($G101,"-",$F101,"-Lone Person"),'Look-ups'!$Y$4:$AG$35,9,FALSE)</f>
        <v>210.79000000000002</v>
      </c>
      <c r="X101" s="117">
        <f>VLOOKUP(CONCATENATE($G101,"-",$F101,"-Couple Only"),'Look-ups'!$Y$4:$AG$35,5,FALSE)</f>
        <v>171.20000000000002</v>
      </c>
      <c r="Y101">
        <f>VLOOKUP(CONCATENATE($G101,"-",$F101,"-Couple Only"),'Look-ups'!$Y$4:$AG$35,6,FALSE)</f>
        <v>162.64000000000001</v>
      </c>
      <c r="Z101">
        <f>VLOOKUP(CONCATENATE($G101,"-",$F101,"-Couple Only"),'Look-ups'!$Y$4:$AG$35,7,FALSE)</f>
        <v>182.97</v>
      </c>
      <c r="AA101">
        <f>VLOOKUP(CONCATENATE($G101,"-",$F101,"-Couple Only"),'Look-ups'!$Y$4:$AG$35,8,FALSE)</f>
        <v>203.3</v>
      </c>
      <c r="AB101">
        <f>VLOOKUP(CONCATENATE($G101,"-",$F101,"-Couple Only"),'Look-ups'!$Y$4:$AG$35,9,FALSE)</f>
        <v>254.66000000000003</v>
      </c>
      <c r="AC101">
        <v>13</v>
      </c>
      <c r="AD101" t="s">
        <v>169</v>
      </c>
      <c r="AE101" s="287">
        <f>VLOOKUP($AD101,'Look-ups'!$A$122:$G$130,5,FALSE)</f>
        <v>0.12385321100917432</v>
      </c>
      <c r="AF101" s="287">
        <f>VLOOKUP($AD101,'Look-ups'!$A$122:$G$130,6,FALSE)</f>
        <v>0.28440366972477066</v>
      </c>
      <c r="AG101" s="287">
        <f>VLOOKUP($AD101,'Look-ups'!$A$122:$G$130,7,FALSE)</f>
        <v>0.59174311926605505</v>
      </c>
      <c r="AH101" s="291">
        <f>VLOOKUP($AC101,'Look-ups'!$A$50:$AO$118,'Look-ups'!$B$133*4,FALSE)*0.277778</f>
        <v>21.648517846680715</v>
      </c>
      <c r="AI101" s="291">
        <f>VLOOKUP($AC101,'Look-ups'!$A$50:$AO$118,'Look-ups'!$B$133*4+1,FALSE)*0.277778</f>
        <v>35.018194153319293</v>
      </c>
      <c r="AJ101" s="291">
        <f>AE101*$AH101/'Look-ups'!$B$141</f>
        <v>3.5048868613082655</v>
      </c>
      <c r="AK101" s="291">
        <f>AF101*$AH101/'Look-ups'!$B$140</f>
        <v>8.4341341365728564</v>
      </c>
      <c r="AL101" s="291">
        <f>AG101*$AH101/'Look-ups'!$B$137</f>
        <v>2.4400688529679444</v>
      </c>
      <c r="AM101" s="291">
        <f>AI101/'Look-ups'!$B$136</f>
        <v>7.372251400698798</v>
      </c>
      <c r="AN101" s="290">
        <f>AJ101*VLOOKUP($AD101,'Look-ups'!$A$123:$M$130,10,FALSE)</f>
        <v>0.95118735097171525</v>
      </c>
      <c r="AO101" s="290">
        <f>AK101*VLOOKUP($AD101,'Look-ups'!$A$123:$M$130,9,FALSE)</f>
        <v>4.8938894644781268</v>
      </c>
      <c r="AP101" s="290">
        <f>(AL101+AM101)*VLOOKUP($AD101,'Look-ups'!$A$123:$M$130,8,FALSE)</f>
        <v>3.1399424811733576</v>
      </c>
      <c r="AQ101" s="290">
        <f t="shared" si="2"/>
        <v>8.9850192966232001</v>
      </c>
      <c r="AR101" s="292">
        <f>AJ101*VLOOKUP($AD101,'Look-ups'!$A$123:$M$130,11,FALSE)</f>
        <v>1.5141535203837413E-2</v>
      </c>
      <c r="AS101" s="292">
        <f>AK101*VLOOKUP($AD101,'Look-ups'!$A$123:$M$130,12,FALSE)</f>
        <v>1.5646431654159891</v>
      </c>
      <c r="AT101" s="292">
        <f>(AL101+AM101)*VLOOKUP($AD101,'Look-ups'!$A$123:$M$130,13,FALSE)</f>
        <v>1.9820886912406821</v>
      </c>
      <c r="AU101" s="292">
        <f t="shared" si="3"/>
        <v>3.5618733918605088</v>
      </c>
    </row>
    <row r="102" spans="1:57" x14ac:dyDescent="0.25">
      <c r="A102">
        <v>5010</v>
      </c>
      <c r="B102" t="s">
        <v>390</v>
      </c>
      <c r="C102">
        <v>116.432299999999</v>
      </c>
      <c r="D102">
        <v>15298</v>
      </c>
      <c r="E102">
        <v>131.38965733735512</v>
      </c>
      <c r="F102" t="s">
        <v>172</v>
      </c>
      <c r="G102" t="s">
        <v>169</v>
      </c>
      <c r="H102">
        <f>VLOOKUP(CONCATENATE($G102,"-",$F102,"-",$H$2),'Look-ups'!$O$3:$S$34,5,FALSE)*VLOOKUP(CONCATENATE($F102,"-",$H$2,"-",H$3),'Look-ups'!$I$3:$M$24,5,FALSE)</f>
        <v>256.66666666666663</v>
      </c>
      <c r="I102">
        <f>VLOOKUP(CONCATENATE($G102,"-",$F102,"-",$H$2),'Look-ups'!$O$3:$S$34,5,FALSE)*VLOOKUP(CONCATENATE($F102,"-",$H$2,"-",I$3),'Look-ups'!$I$3:$M$24,5,FALSE)</f>
        <v>385</v>
      </c>
      <c r="J102">
        <f>VLOOKUP(CONCATENATE($G102,"-",$F102,"-",$H$2),'Look-ups'!$O$3:$S$34,5,FALSE)*VLOOKUP(CONCATENATE($F102,"-",$H$2,"-",J$3),'Look-ups'!$I$3:$M$24,5,FALSE)</f>
        <v>449.16666666666669</v>
      </c>
      <c r="K102">
        <f>VLOOKUP(CONCATENATE($G102,"-",$F102,"-",$H$2),'Look-ups'!$O$3:$S$34,5,FALSE)*VLOOKUP(CONCATENATE($F102,"-",$H$2,"-",K$3),'Look-ups'!$I$3:$M$24,5,FALSE)</f>
        <v>577.5</v>
      </c>
      <c r="L102">
        <f>VLOOKUP(CONCATENATE($G102,"-",$F102,"-",$H$2),'Look-ups'!$O$3:$S$34,5,FALSE)*VLOOKUP(CONCATENATE($F102,"-",$H$2,"-",L$3),'Look-ups'!$I$3:$M$24,5,FALSE)</f>
        <v>641.66666666666674</v>
      </c>
      <c r="M102">
        <f>VLOOKUP(CONCATENATE($G102,"-",$F102,"-",$H$2),'Look-ups'!$O$3:$S$34,5,FALSE)*VLOOKUP(CONCATENATE($F102,"-",$H$2,"-",M$3),'Look-ups'!$I$3:$M$24,5,FALSE)</f>
        <v>705.83333333333326</v>
      </c>
      <c r="N102">
        <f>VLOOKUP(CONCATENATE($G102,"-",$F102,"-",$N$2),'Look-ups'!$O$3:$S$34,5,FALSE)*VLOOKUP(CONCATENATE($F102,"-",$N$2,"-",N$3),'Look-ups'!$I$3:$M$24,5,FALSE)</f>
        <v>258.75</v>
      </c>
      <c r="O102">
        <f>VLOOKUP(CONCATENATE($G102,"-",$F102,"-",$N$2),'Look-ups'!$O$3:$S$34,5,FALSE)*VLOOKUP(CONCATENATE($F102,"-",$N$2,"-",O$3),'Look-ups'!$I$3:$M$24,5,FALSE)</f>
        <v>258.75</v>
      </c>
      <c r="P102">
        <f>VLOOKUP(CONCATENATE($G102,"-",$F102,"-",$N$2),'Look-ups'!$O$3:$S$34,5,FALSE)*VLOOKUP(CONCATENATE($F102,"-",$N$2,"-",P$3),'Look-ups'!$I$3:$M$24,5,FALSE)</f>
        <v>345</v>
      </c>
      <c r="Q102">
        <f>VLOOKUP(CONCATENATE($G102,"-",$F102,"-",$N$2),'Look-ups'!$O$3:$S$34,5,FALSE)*VLOOKUP(CONCATENATE($F102,"-",$N$2,"-",Q$3),'Look-ups'!$I$3:$M$24,5,FALSE)</f>
        <v>443.57142857142861</v>
      </c>
      <c r="R102">
        <f>VLOOKUP(CONCATENATE($G102,"-",$F102,"-",$N$2),'Look-ups'!$O$3:$S$34,5,FALSE)*VLOOKUP(CONCATENATE($F102,"-",$N$2,"-",R$3),'Look-ups'!$I$3:$M$24,5,FALSE)</f>
        <v>505.17857142857139</v>
      </c>
      <c r="S102" s="117">
        <f>VLOOKUP(CONCATENATE($G102,"-",$F102,"-Lone Person"),'Look-ups'!$Y$4:$AG$35,5,FALSE)</f>
        <v>108.07000000000001</v>
      </c>
      <c r="T102">
        <f>VLOOKUP(CONCATENATE($G102,"-",$F102,"-Lone Person"),'Look-ups'!$Y$4:$AG$35,6,FALSE)</f>
        <v>155.15</v>
      </c>
      <c r="U102">
        <f>VLOOKUP(CONCATENATE($G102,"-",$F102,"-Lone Person"),'Look-ups'!$Y$4:$AG$35,7,FALSE)</f>
        <v>186.18</v>
      </c>
      <c r="V102">
        <f>VLOOKUP(CONCATENATE($G102,"-",$F102,"-Lone Person"),'Look-ups'!$Y$4:$AG$35,8,FALSE)</f>
        <v>227.91000000000003</v>
      </c>
      <c r="W102">
        <f>VLOOKUP(CONCATENATE($G102,"-",$F102,"-Lone Person"),'Look-ups'!$Y$4:$AG$35,9,FALSE)</f>
        <v>216.14000000000001</v>
      </c>
      <c r="X102" s="117">
        <f>VLOOKUP(CONCATENATE($G102,"-",$F102,"-Couple Only"),'Look-ups'!$Y$4:$AG$35,5,FALSE)</f>
        <v>175.48000000000002</v>
      </c>
      <c r="Y102">
        <f>VLOOKUP(CONCATENATE($G102,"-",$F102,"-Couple Only"),'Look-ups'!$Y$4:$AG$35,6,FALSE)</f>
        <v>165.85000000000002</v>
      </c>
      <c r="Z102">
        <f>VLOOKUP(CONCATENATE($G102,"-",$F102,"-Couple Only"),'Look-ups'!$Y$4:$AG$35,7,FALSE)</f>
        <v>187.25</v>
      </c>
      <c r="AA102">
        <f>VLOOKUP(CONCATENATE($G102,"-",$F102,"-Couple Only"),'Look-ups'!$Y$4:$AG$35,8,FALSE)</f>
        <v>207.58</v>
      </c>
      <c r="AB102">
        <f>VLOOKUP(CONCATENATE($G102,"-",$F102,"-Couple Only"),'Look-ups'!$Y$4:$AG$35,9,FALSE)</f>
        <v>261.08000000000004</v>
      </c>
      <c r="AC102">
        <v>2</v>
      </c>
      <c r="AD102" t="s">
        <v>167</v>
      </c>
      <c r="AE102" s="287">
        <f>VLOOKUP($AD102,'Look-ups'!$A$122:$G$130,5,FALSE)</f>
        <v>0.3</v>
      </c>
      <c r="AF102" s="287">
        <f>VLOOKUP($AD102,'Look-ups'!$A$122:$G$130,6,FALSE)</f>
        <v>9.285714285714286E-2</v>
      </c>
      <c r="AG102" s="287">
        <f>VLOOKUP($AD102,'Look-ups'!$A$122:$G$130,7,FALSE)</f>
        <v>0.6071428571428571</v>
      </c>
      <c r="AH102" s="291">
        <f>VLOOKUP($AC102,'Look-ups'!$A$50:$AO$118,'Look-ups'!$B$133*4,FALSE)*0.277778</f>
        <v>0.13929958473849921</v>
      </c>
      <c r="AI102" s="291">
        <f>VLOOKUP($AC102,'Look-ups'!$A$50:$AO$118,'Look-ups'!$B$133*4+1,FALSE)*0.277778</f>
        <v>112.3607904152615</v>
      </c>
      <c r="AJ102" s="291">
        <f>AE102*$AH102/'Look-ups'!$B$141</f>
        <v>5.4627288132744797E-2</v>
      </c>
      <c r="AK102" s="291">
        <f>AF102*$AH102/'Look-ups'!$B$140</f>
        <v>1.7719125260278766E-2</v>
      </c>
      <c r="AL102" s="291">
        <f>AG102*$AH102/'Look-ups'!$B$137</f>
        <v>1.6109475786084942E-2</v>
      </c>
      <c r="AM102" s="291">
        <f>AI102/'Look-ups'!$B$136</f>
        <v>23.654903245318213</v>
      </c>
      <c r="AN102" s="290">
        <f>AJ102*VLOOKUP($AD102,'Look-ups'!$A$123:$M$130,10,FALSE)</f>
        <v>1.4825239029358794E-2</v>
      </c>
      <c r="AO102" s="290">
        <f>AK102*VLOOKUP($AD102,'Look-ups'!$A$123:$M$130,9,FALSE)</f>
        <v>2.6599950840730485E-3</v>
      </c>
      <c r="AP102" s="290">
        <f>(AL102+AM102)*VLOOKUP($AD102,'Look-ups'!$A$123:$M$130,8,FALSE)</f>
        <v>7.5747240707533754</v>
      </c>
      <c r="AQ102" s="290">
        <f t="shared" si="2"/>
        <v>7.5922093048668069</v>
      </c>
      <c r="AR102" s="292">
        <f>AJ102*VLOOKUP($AD102,'Look-ups'!$A$123:$M$130,11,FALSE)</f>
        <v>2.3599649263525129E-4</v>
      </c>
      <c r="AS102" s="292">
        <f>AK102*VLOOKUP($AD102,'Look-ups'!$A$123:$M$130,12,FALSE)</f>
        <v>3.2871315284665908E-3</v>
      </c>
      <c r="AT102" s="292">
        <f>(AL102+AM102)*VLOOKUP($AD102,'Look-ups'!$A$123:$M$130,13,FALSE)</f>
        <v>8.75827470680859E-2</v>
      </c>
      <c r="AU102" s="292">
        <f t="shared" si="3"/>
        <v>9.1105875089187743E-2</v>
      </c>
    </row>
    <row r="103" spans="1:57" x14ac:dyDescent="0.25">
      <c r="A103">
        <v>6000</v>
      </c>
      <c r="B103" t="s">
        <v>391</v>
      </c>
      <c r="C103">
        <v>65881.888699999894</v>
      </c>
      <c r="D103">
        <v>165335</v>
      </c>
      <c r="E103">
        <v>2.5095667908500667</v>
      </c>
      <c r="F103" t="s">
        <v>172</v>
      </c>
      <c r="G103" t="s">
        <v>167</v>
      </c>
      <c r="H103">
        <f>VLOOKUP(CONCATENATE($G103,"-",$F103,"-",$H$2),'Look-ups'!$O$3:$S$34,5,FALSE)*VLOOKUP(CONCATENATE($F103,"-",$H$2,"-",H$3),'Look-ups'!$I$3:$M$24,5,FALSE)</f>
        <v>251.33333333333331</v>
      </c>
      <c r="I103">
        <f>VLOOKUP(CONCATENATE($G103,"-",$F103,"-",$H$2),'Look-ups'!$O$3:$S$34,5,FALSE)*VLOOKUP(CONCATENATE($F103,"-",$H$2,"-",I$3),'Look-ups'!$I$3:$M$24,5,FALSE)</f>
        <v>377</v>
      </c>
      <c r="J103">
        <f>VLOOKUP(CONCATENATE($G103,"-",$F103,"-",$H$2),'Look-ups'!$O$3:$S$34,5,FALSE)*VLOOKUP(CONCATENATE($F103,"-",$H$2,"-",J$3),'Look-ups'!$I$3:$M$24,5,FALSE)</f>
        <v>439.83333333333337</v>
      </c>
      <c r="K103">
        <f>VLOOKUP(CONCATENATE($G103,"-",$F103,"-",$H$2),'Look-ups'!$O$3:$S$34,5,FALSE)*VLOOKUP(CONCATENATE($F103,"-",$H$2,"-",K$3),'Look-ups'!$I$3:$M$24,5,FALSE)</f>
        <v>565.5</v>
      </c>
      <c r="L103">
        <f>VLOOKUP(CONCATENATE($G103,"-",$F103,"-",$H$2),'Look-ups'!$O$3:$S$34,5,FALSE)*VLOOKUP(CONCATENATE($F103,"-",$H$2,"-",L$3),'Look-ups'!$I$3:$M$24,5,FALSE)</f>
        <v>628.33333333333337</v>
      </c>
      <c r="M103">
        <f>VLOOKUP(CONCATENATE($G103,"-",$F103,"-",$H$2),'Look-ups'!$O$3:$S$34,5,FALSE)*VLOOKUP(CONCATENATE($F103,"-",$H$2,"-",M$3),'Look-ups'!$I$3:$M$24,5,FALSE)</f>
        <v>691.16666666666663</v>
      </c>
      <c r="N103">
        <f>VLOOKUP(CONCATENATE($G103,"-",$F103,"-",$N$2),'Look-ups'!$O$3:$S$34,5,FALSE)*VLOOKUP(CONCATENATE($F103,"-",$N$2,"-",N$3),'Look-ups'!$I$3:$M$24,5,FALSE)</f>
        <v>250.5</v>
      </c>
      <c r="O103">
        <f>VLOOKUP(CONCATENATE($G103,"-",$F103,"-",$N$2),'Look-ups'!$O$3:$S$34,5,FALSE)*VLOOKUP(CONCATENATE($F103,"-",$N$2,"-",O$3),'Look-ups'!$I$3:$M$24,5,FALSE)</f>
        <v>250.5</v>
      </c>
      <c r="P103">
        <f>VLOOKUP(CONCATENATE($G103,"-",$F103,"-",$N$2),'Look-ups'!$O$3:$S$34,5,FALSE)*VLOOKUP(CONCATENATE($F103,"-",$N$2,"-",P$3),'Look-ups'!$I$3:$M$24,5,FALSE)</f>
        <v>334</v>
      </c>
      <c r="Q103">
        <f>VLOOKUP(CONCATENATE($G103,"-",$F103,"-",$N$2),'Look-ups'!$O$3:$S$34,5,FALSE)*VLOOKUP(CONCATENATE($F103,"-",$N$2,"-",Q$3),'Look-ups'!$I$3:$M$24,5,FALSE)</f>
        <v>429.42857142857144</v>
      </c>
      <c r="R103">
        <f>VLOOKUP(CONCATENATE($G103,"-",$F103,"-",$N$2),'Look-ups'!$O$3:$S$34,5,FALSE)*VLOOKUP(CONCATENATE($F103,"-",$N$2,"-",R$3),'Look-ups'!$I$3:$M$24,5,FALSE)</f>
        <v>489.07142857142856</v>
      </c>
      <c r="S103" s="117">
        <f>VLOOKUP(CONCATENATE($G103,"-",$F103,"-Lone Person"),'Look-ups'!$Y$4:$AG$35,5,FALSE)</f>
        <v>139.1</v>
      </c>
      <c r="T103">
        <f>VLOOKUP(CONCATENATE($G103,"-",$F103,"-Lone Person"),'Look-ups'!$Y$4:$AG$35,6,FALSE)</f>
        <v>197.95000000000002</v>
      </c>
      <c r="U103">
        <f>VLOOKUP(CONCATENATE($G103,"-",$F103,"-Lone Person"),'Look-ups'!$Y$4:$AG$35,7,FALSE)</f>
        <v>237.54000000000002</v>
      </c>
      <c r="V103">
        <f>VLOOKUP(CONCATENATE($G103,"-",$F103,"-Lone Person"),'Look-ups'!$Y$4:$AG$35,8,FALSE)</f>
        <v>291.04000000000002</v>
      </c>
      <c r="W103">
        <f>VLOOKUP(CONCATENATE($G103,"-",$F103,"-Lone Person"),'Look-ups'!$Y$4:$AG$35,9,FALSE)</f>
        <v>276.06</v>
      </c>
      <c r="X103" s="117">
        <f>VLOOKUP(CONCATENATE($G103,"-",$F103,"-Couple Only"),'Look-ups'!$Y$4:$AG$35,5,FALSE)</f>
        <v>224.70000000000002</v>
      </c>
      <c r="Y103">
        <f>VLOOKUP(CONCATENATE($G103,"-",$F103,"-Couple Only"),'Look-ups'!$Y$4:$AG$35,6,FALSE)</f>
        <v>211.86</v>
      </c>
      <c r="Z103">
        <f>VLOOKUP(CONCATENATE($G103,"-",$F103,"-Couple Only"),'Look-ups'!$Y$4:$AG$35,7,FALSE)</f>
        <v>239.68</v>
      </c>
      <c r="AA103">
        <f>VLOOKUP(CONCATENATE($G103,"-",$F103,"-Couple Only"),'Look-ups'!$Y$4:$AG$35,8,FALSE)</f>
        <v>265.36</v>
      </c>
      <c r="AB103">
        <f>VLOOKUP(CONCATENATE($G103,"-",$F103,"-Couple Only"),'Look-ups'!$Y$4:$AG$35,9,FALSE)</f>
        <v>332.77000000000004</v>
      </c>
      <c r="AC103">
        <v>26</v>
      </c>
      <c r="AD103" t="s">
        <v>167</v>
      </c>
      <c r="AE103" s="287">
        <f>VLOOKUP($AD103,'Look-ups'!$A$122:$G$130,5,FALSE)</f>
        <v>0.3</v>
      </c>
      <c r="AF103" s="287">
        <f>VLOOKUP($AD103,'Look-ups'!$A$122:$G$130,6,FALSE)</f>
        <v>9.285714285714286E-2</v>
      </c>
      <c r="AG103" s="287">
        <f>VLOOKUP($AD103,'Look-ups'!$A$122:$G$130,7,FALSE)</f>
        <v>0.6071428571428571</v>
      </c>
      <c r="AH103" s="291">
        <f>VLOOKUP($AC103,'Look-ups'!$A$50:$AO$118,'Look-ups'!$B$133*4,FALSE)*0.277778</f>
        <v>91.030328974784581</v>
      </c>
      <c r="AI103" s="291">
        <f>VLOOKUP($AC103,'Look-ups'!$A$50:$AO$118,'Look-ups'!$B$133*4+1,FALSE)*0.277778</f>
        <v>3.1364130252154223</v>
      </c>
      <c r="AJ103" s="291">
        <f>AE103*$AH103/'Look-ups'!$B$141</f>
        <v>35.698168225405723</v>
      </c>
      <c r="AK103" s="291">
        <f>AF103*$AH103/'Look-ups'!$B$140</f>
        <v>11.579200358827785</v>
      </c>
      <c r="AL103" s="291">
        <f>AG103*$AH103/'Look-ups'!$B$137</f>
        <v>10.527316956267603</v>
      </c>
      <c r="AM103" s="291">
        <f>AI103/'Look-ups'!$B$136</f>
        <v>0.66029747899272051</v>
      </c>
      <c r="AN103" s="290">
        <f>AJ103*VLOOKUP($AD103,'Look-ups'!$A$123:$M$130,10,FALSE)</f>
        <v>9.6880862100614955</v>
      </c>
      <c r="AO103" s="290">
        <f>AK103*VLOOKUP($AD103,'Look-ups'!$A$123:$M$130,9,FALSE)</f>
        <v>1.7382695578672271</v>
      </c>
      <c r="AP103" s="290">
        <f>(AL103+AM103)*VLOOKUP($AD103,'Look-ups'!$A$123:$M$130,8,FALSE)</f>
        <v>3.5800366192833035</v>
      </c>
      <c r="AQ103" s="290">
        <f t="shared" si="2"/>
        <v>15.006392387212026</v>
      </c>
      <c r="AR103" s="292">
        <f>AJ103*VLOOKUP($AD103,'Look-ups'!$A$123:$M$130,11,FALSE)</f>
        <v>0.15422040490509006</v>
      </c>
      <c r="AS103" s="292">
        <f>AK103*VLOOKUP($AD103,'Look-ups'!$A$123:$M$130,12,FALSE)</f>
        <v>2.1480944468099357</v>
      </c>
      <c r="AT103" s="292">
        <f>(AL103+AM103)*VLOOKUP($AD103,'Look-ups'!$A$123:$M$130,13,FALSE)</f>
        <v>4.1394173410463198E-2</v>
      </c>
      <c r="AU103" s="292">
        <f t="shared" si="3"/>
        <v>2.3437090251254888</v>
      </c>
    </row>
    <row r="104" spans="1:57" x14ac:dyDescent="0.25">
      <c r="A104">
        <v>6001</v>
      </c>
      <c r="B104" t="s">
        <v>1012</v>
      </c>
      <c r="C104">
        <v>130.513399999999</v>
      </c>
      <c r="D104">
        <v>27826</v>
      </c>
      <c r="E104">
        <v>213.20416141178003</v>
      </c>
      <c r="F104" t="s">
        <v>172</v>
      </c>
      <c r="G104" t="s">
        <v>167</v>
      </c>
      <c r="H104">
        <f>VLOOKUP(CONCATENATE($G104,"-",$F104,"-",$H$2),'Look-ups'!$O$3:$S$34,5,FALSE)*VLOOKUP(CONCATENATE($F104,"-",$H$2,"-",H$3),'Look-ups'!$I$3:$M$24,5,FALSE)</f>
        <v>251.33333333333331</v>
      </c>
      <c r="I104">
        <f>VLOOKUP(CONCATENATE($G104,"-",$F104,"-",$H$2),'Look-ups'!$O$3:$S$34,5,FALSE)*VLOOKUP(CONCATENATE($F104,"-",$H$2,"-",I$3),'Look-ups'!$I$3:$M$24,5,FALSE)</f>
        <v>377</v>
      </c>
      <c r="J104">
        <f>VLOOKUP(CONCATENATE($G104,"-",$F104,"-",$H$2),'Look-ups'!$O$3:$S$34,5,FALSE)*VLOOKUP(CONCATENATE($F104,"-",$H$2,"-",J$3),'Look-ups'!$I$3:$M$24,5,FALSE)</f>
        <v>439.83333333333337</v>
      </c>
      <c r="K104">
        <f>VLOOKUP(CONCATENATE($G104,"-",$F104,"-",$H$2),'Look-ups'!$O$3:$S$34,5,FALSE)*VLOOKUP(CONCATENATE($F104,"-",$H$2,"-",K$3),'Look-ups'!$I$3:$M$24,5,FALSE)</f>
        <v>565.5</v>
      </c>
      <c r="L104">
        <f>VLOOKUP(CONCATENATE($G104,"-",$F104,"-",$H$2),'Look-ups'!$O$3:$S$34,5,FALSE)*VLOOKUP(CONCATENATE($F104,"-",$H$2,"-",L$3),'Look-ups'!$I$3:$M$24,5,FALSE)</f>
        <v>628.33333333333337</v>
      </c>
      <c r="M104">
        <f>VLOOKUP(CONCATENATE($G104,"-",$F104,"-",$H$2),'Look-ups'!$O$3:$S$34,5,FALSE)*VLOOKUP(CONCATENATE($F104,"-",$H$2,"-",M$3),'Look-ups'!$I$3:$M$24,5,FALSE)</f>
        <v>691.16666666666663</v>
      </c>
      <c r="N104">
        <f>VLOOKUP(CONCATENATE($G104,"-",$F104,"-",$N$2),'Look-ups'!$O$3:$S$34,5,FALSE)*VLOOKUP(CONCATENATE($F104,"-",$N$2,"-",N$3),'Look-ups'!$I$3:$M$24,5,FALSE)</f>
        <v>250.5</v>
      </c>
      <c r="O104">
        <f>VLOOKUP(CONCATENATE($G104,"-",$F104,"-",$N$2),'Look-ups'!$O$3:$S$34,5,FALSE)*VLOOKUP(CONCATENATE($F104,"-",$N$2,"-",O$3),'Look-ups'!$I$3:$M$24,5,FALSE)</f>
        <v>250.5</v>
      </c>
      <c r="P104">
        <f>VLOOKUP(CONCATENATE($G104,"-",$F104,"-",$N$2),'Look-ups'!$O$3:$S$34,5,FALSE)*VLOOKUP(CONCATENATE($F104,"-",$N$2,"-",P$3),'Look-ups'!$I$3:$M$24,5,FALSE)</f>
        <v>334</v>
      </c>
      <c r="Q104">
        <f>VLOOKUP(CONCATENATE($G104,"-",$F104,"-",$N$2),'Look-ups'!$O$3:$S$34,5,FALSE)*VLOOKUP(CONCATENATE($F104,"-",$N$2,"-",Q$3),'Look-ups'!$I$3:$M$24,5,FALSE)</f>
        <v>429.42857142857144</v>
      </c>
      <c r="R104">
        <f>VLOOKUP(CONCATENATE($G104,"-",$F104,"-",$N$2),'Look-ups'!$O$3:$S$34,5,FALSE)*VLOOKUP(CONCATENATE($F104,"-",$N$2,"-",R$3),'Look-ups'!$I$3:$M$24,5,FALSE)</f>
        <v>489.07142857142856</v>
      </c>
      <c r="S104" s="117">
        <f>VLOOKUP(CONCATENATE($G104,"-",$F104,"-Lone Person"),'Look-ups'!$Y$4:$AG$35,5,FALSE)</f>
        <v>139.1</v>
      </c>
      <c r="T104">
        <f>VLOOKUP(CONCATENATE($G104,"-",$F104,"-Lone Person"),'Look-ups'!$Y$4:$AG$35,6,FALSE)</f>
        <v>197.95000000000002</v>
      </c>
      <c r="U104">
        <f>VLOOKUP(CONCATENATE($G104,"-",$F104,"-Lone Person"),'Look-ups'!$Y$4:$AG$35,7,FALSE)</f>
        <v>237.54000000000002</v>
      </c>
      <c r="V104">
        <f>VLOOKUP(CONCATENATE($G104,"-",$F104,"-Lone Person"),'Look-ups'!$Y$4:$AG$35,8,FALSE)</f>
        <v>291.04000000000002</v>
      </c>
      <c r="W104">
        <f>VLOOKUP(CONCATENATE($G104,"-",$F104,"-Lone Person"),'Look-ups'!$Y$4:$AG$35,9,FALSE)</f>
        <v>276.06</v>
      </c>
      <c r="X104" s="117">
        <f>VLOOKUP(CONCATENATE($G104,"-",$F104,"-Couple Only"),'Look-ups'!$Y$4:$AG$35,5,FALSE)</f>
        <v>224.70000000000002</v>
      </c>
      <c r="Y104">
        <f>VLOOKUP(CONCATENATE($G104,"-",$F104,"-Couple Only"),'Look-ups'!$Y$4:$AG$35,6,FALSE)</f>
        <v>211.86</v>
      </c>
      <c r="Z104">
        <f>VLOOKUP(CONCATENATE($G104,"-",$F104,"-Couple Only"),'Look-ups'!$Y$4:$AG$35,7,FALSE)</f>
        <v>239.68</v>
      </c>
      <c r="AA104">
        <f>VLOOKUP(CONCATENATE($G104,"-",$F104,"-Couple Only"),'Look-ups'!$Y$4:$AG$35,8,FALSE)</f>
        <v>265.36</v>
      </c>
      <c r="AB104">
        <f>VLOOKUP(CONCATENATE($G104,"-",$F104,"-Couple Only"),'Look-ups'!$Y$4:$AG$35,9,FALSE)</f>
        <v>332.77000000000004</v>
      </c>
      <c r="AC104">
        <v>67</v>
      </c>
      <c r="AD104" t="s">
        <v>167</v>
      </c>
      <c r="AE104" s="287">
        <f>VLOOKUP($AD104,'Look-ups'!$A$122:$G$130,5,FALSE)</f>
        <v>0.3</v>
      </c>
      <c r="AF104" s="287">
        <f>VLOOKUP($AD104,'Look-ups'!$A$122:$G$130,6,FALSE)</f>
        <v>9.285714285714286E-2</v>
      </c>
      <c r="AG104" s="287">
        <f>VLOOKUP($AD104,'Look-ups'!$A$122:$G$130,7,FALSE)</f>
        <v>0.6071428571428571</v>
      </c>
      <c r="AH104" s="291">
        <f>VLOOKUP($AC104,'Look-ups'!$A$50:$AO$118,'Look-ups'!$B$133*4,FALSE)*0.277778</f>
        <v>87.756958797245943</v>
      </c>
      <c r="AI104" s="291">
        <f>VLOOKUP($AC104,'Look-ups'!$A$50:$AO$118,'Look-ups'!$B$133*4+1,FALSE)*0.277778</f>
        <v>2.2431132027540799</v>
      </c>
      <c r="AJ104" s="291">
        <f>AE104*$AH104/'Look-ups'!$B$141</f>
        <v>34.414493645978808</v>
      </c>
      <c r="AK104" s="291">
        <f>AF104*$AH104/'Look-ups'!$B$140</f>
        <v>11.162822547594885</v>
      </c>
      <c r="AL104" s="291">
        <f>AG104*$AH104/'Look-ups'!$B$137</f>
        <v>10.148763942538645</v>
      </c>
      <c r="AM104" s="291">
        <f>AI104/'Look-ups'!$B$136</f>
        <v>0.47223435847454315</v>
      </c>
      <c r="AN104" s="290">
        <f>AJ104*VLOOKUP($AD104,'Look-ups'!$A$123:$M$130,10,FALSE)</f>
        <v>9.3397111922559137</v>
      </c>
      <c r="AO104" s="290">
        <f>AK104*VLOOKUP($AD104,'Look-ups'!$A$123:$M$130,9,FALSE)</f>
        <v>1.6757629208449443</v>
      </c>
      <c r="AP104" s="290">
        <f>(AL104+AM104)*VLOOKUP($AD104,'Look-ups'!$A$123:$M$130,8,FALSE)</f>
        <v>3.39871945632422</v>
      </c>
      <c r="AQ104" s="290">
        <f t="shared" si="2"/>
        <v>14.414193569425077</v>
      </c>
      <c r="AR104" s="292">
        <f>AJ104*VLOOKUP($AD104,'Look-ups'!$A$123:$M$130,11,FALSE)</f>
        <v>0.14867477544434088</v>
      </c>
      <c r="AS104" s="292">
        <f>AK104*VLOOKUP($AD104,'Look-ups'!$A$123:$M$130,12,FALSE)</f>
        <v>2.0708508689835639</v>
      </c>
      <c r="AT104" s="292">
        <f>(AL104+AM104)*VLOOKUP($AD104,'Look-ups'!$A$123:$M$130,13,FALSE)</f>
        <v>3.9297693713748798E-2</v>
      </c>
      <c r="AU104" s="292">
        <f t="shared" si="3"/>
        <v>2.2588233381416534</v>
      </c>
    </row>
    <row r="105" spans="1:57" x14ac:dyDescent="0.25">
      <c r="A105">
        <v>6002</v>
      </c>
      <c r="B105" t="s">
        <v>392</v>
      </c>
      <c r="C105">
        <v>290.50229999999902</v>
      </c>
      <c r="D105">
        <v>31721</v>
      </c>
      <c r="E105">
        <v>109.19362772687207</v>
      </c>
      <c r="F105" t="s">
        <v>172</v>
      </c>
      <c r="G105" t="s">
        <v>167</v>
      </c>
      <c r="H105">
        <f>VLOOKUP(CONCATENATE($G105,"-",$F105,"-",$H$2),'Look-ups'!$O$3:$S$34,5,FALSE)*VLOOKUP(CONCATENATE($F105,"-",$H$2,"-",H$3),'Look-ups'!$I$3:$M$24,5,FALSE)</f>
        <v>251.33333333333331</v>
      </c>
      <c r="I105">
        <f>VLOOKUP(CONCATENATE($G105,"-",$F105,"-",$H$2),'Look-ups'!$O$3:$S$34,5,FALSE)*VLOOKUP(CONCATENATE($F105,"-",$H$2,"-",I$3),'Look-ups'!$I$3:$M$24,5,FALSE)</f>
        <v>377</v>
      </c>
      <c r="J105">
        <f>VLOOKUP(CONCATENATE($G105,"-",$F105,"-",$H$2),'Look-ups'!$O$3:$S$34,5,FALSE)*VLOOKUP(CONCATENATE($F105,"-",$H$2,"-",J$3),'Look-ups'!$I$3:$M$24,5,FALSE)</f>
        <v>439.83333333333337</v>
      </c>
      <c r="K105">
        <f>VLOOKUP(CONCATENATE($G105,"-",$F105,"-",$H$2),'Look-ups'!$O$3:$S$34,5,FALSE)*VLOOKUP(CONCATENATE($F105,"-",$H$2,"-",K$3),'Look-ups'!$I$3:$M$24,5,FALSE)</f>
        <v>565.5</v>
      </c>
      <c r="L105">
        <f>VLOOKUP(CONCATENATE($G105,"-",$F105,"-",$H$2),'Look-ups'!$O$3:$S$34,5,FALSE)*VLOOKUP(CONCATENATE($F105,"-",$H$2,"-",L$3),'Look-ups'!$I$3:$M$24,5,FALSE)</f>
        <v>628.33333333333337</v>
      </c>
      <c r="M105">
        <f>VLOOKUP(CONCATENATE($G105,"-",$F105,"-",$H$2),'Look-ups'!$O$3:$S$34,5,FALSE)*VLOOKUP(CONCATENATE($F105,"-",$H$2,"-",M$3),'Look-ups'!$I$3:$M$24,5,FALSE)</f>
        <v>691.16666666666663</v>
      </c>
      <c r="N105">
        <f>VLOOKUP(CONCATENATE($G105,"-",$F105,"-",$N$2),'Look-ups'!$O$3:$S$34,5,FALSE)*VLOOKUP(CONCATENATE($F105,"-",$N$2,"-",N$3),'Look-ups'!$I$3:$M$24,5,FALSE)</f>
        <v>250.5</v>
      </c>
      <c r="O105">
        <f>VLOOKUP(CONCATENATE($G105,"-",$F105,"-",$N$2),'Look-ups'!$O$3:$S$34,5,FALSE)*VLOOKUP(CONCATENATE($F105,"-",$N$2,"-",O$3),'Look-ups'!$I$3:$M$24,5,FALSE)</f>
        <v>250.5</v>
      </c>
      <c r="P105">
        <f>VLOOKUP(CONCATENATE($G105,"-",$F105,"-",$N$2),'Look-ups'!$O$3:$S$34,5,FALSE)*VLOOKUP(CONCATENATE($F105,"-",$N$2,"-",P$3),'Look-ups'!$I$3:$M$24,5,FALSE)</f>
        <v>334</v>
      </c>
      <c r="Q105">
        <f>VLOOKUP(CONCATENATE($G105,"-",$F105,"-",$N$2),'Look-ups'!$O$3:$S$34,5,FALSE)*VLOOKUP(CONCATENATE($F105,"-",$N$2,"-",Q$3),'Look-ups'!$I$3:$M$24,5,FALSE)</f>
        <v>429.42857142857144</v>
      </c>
      <c r="R105">
        <f>VLOOKUP(CONCATENATE($G105,"-",$F105,"-",$N$2),'Look-ups'!$O$3:$S$34,5,FALSE)*VLOOKUP(CONCATENATE($F105,"-",$N$2,"-",R$3),'Look-ups'!$I$3:$M$24,5,FALSE)</f>
        <v>489.07142857142856</v>
      </c>
      <c r="S105" s="117">
        <f>VLOOKUP(CONCATENATE($G105,"-",$F105,"-Lone Person"),'Look-ups'!$Y$4:$AG$35,5,FALSE)</f>
        <v>139.1</v>
      </c>
      <c r="T105">
        <f>VLOOKUP(CONCATENATE($G105,"-",$F105,"-Lone Person"),'Look-ups'!$Y$4:$AG$35,6,FALSE)</f>
        <v>197.95000000000002</v>
      </c>
      <c r="U105">
        <f>VLOOKUP(CONCATENATE($G105,"-",$F105,"-Lone Person"),'Look-ups'!$Y$4:$AG$35,7,FALSE)</f>
        <v>237.54000000000002</v>
      </c>
      <c r="V105">
        <f>VLOOKUP(CONCATENATE($G105,"-",$F105,"-Lone Person"),'Look-ups'!$Y$4:$AG$35,8,FALSE)</f>
        <v>291.04000000000002</v>
      </c>
      <c r="W105">
        <f>VLOOKUP(CONCATENATE($G105,"-",$F105,"-Lone Person"),'Look-ups'!$Y$4:$AG$35,9,FALSE)</f>
        <v>276.06</v>
      </c>
      <c r="X105" s="117">
        <f>VLOOKUP(CONCATENATE($G105,"-",$F105,"-Couple Only"),'Look-ups'!$Y$4:$AG$35,5,FALSE)</f>
        <v>224.70000000000002</v>
      </c>
      <c r="Y105">
        <f>VLOOKUP(CONCATENATE($G105,"-",$F105,"-Couple Only"),'Look-ups'!$Y$4:$AG$35,6,FALSE)</f>
        <v>211.86</v>
      </c>
      <c r="Z105">
        <f>VLOOKUP(CONCATENATE($G105,"-",$F105,"-Couple Only"),'Look-ups'!$Y$4:$AG$35,7,FALSE)</f>
        <v>239.68</v>
      </c>
      <c r="AA105">
        <f>VLOOKUP(CONCATENATE($G105,"-",$F105,"-Couple Only"),'Look-ups'!$Y$4:$AG$35,8,FALSE)</f>
        <v>265.36</v>
      </c>
      <c r="AB105">
        <f>VLOOKUP(CONCATENATE($G105,"-",$F105,"-Couple Only"),'Look-ups'!$Y$4:$AG$35,9,FALSE)</f>
        <v>332.77000000000004</v>
      </c>
      <c r="AC105">
        <v>67</v>
      </c>
      <c r="AD105" t="s">
        <v>167</v>
      </c>
      <c r="AE105" s="287">
        <f>VLOOKUP($AD105,'Look-ups'!$A$122:$G$130,5,FALSE)</f>
        <v>0.3</v>
      </c>
      <c r="AF105" s="287">
        <f>VLOOKUP($AD105,'Look-ups'!$A$122:$G$130,6,FALSE)</f>
        <v>9.285714285714286E-2</v>
      </c>
      <c r="AG105" s="287">
        <f>VLOOKUP($AD105,'Look-ups'!$A$122:$G$130,7,FALSE)</f>
        <v>0.6071428571428571</v>
      </c>
      <c r="AH105" s="291">
        <f>VLOOKUP($AC105,'Look-ups'!$A$50:$AO$118,'Look-ups'!$B$133*4,FALSE)*0.277778</f>
        <v>87.756958797245943</v>
      </c>
      <c r="AI105" s="291">
        <f>VLOOKUP($AC105,'Look-ups'!$A$50:$AO$118,'Look-ups'!$B$133*4+1,FALSE)*0.277778</f>
        <v>2.2431132027540799</v>
      </c>
      <c r="AJ105" s="291">
        <f>AE105*$AH105/'Look-ups'!$B$141</f>
        <v>34.414493645978808</v>
      </c>
      <c r="AK105" s="291">
        <f>AF105*$AH105/'Look-ups'!$B$140</f>
        <v>11.162822547594885</v>
      </c>
      <c r="AL105" s="291">
        <f>AG105*$AH105/'Look-ups'!$B$137</f>
        <v>10.148763942538645</v>
      </c>
      <c r="AM105" s="291">
        <f>AI105/'Look-ups'!$B$136</f>
        <v>0.47223435847454315</v>
      </c>
      <c r="AN105" s="290">
        <f>AJ105*VLOOKUP($AD105,'Look-ups'!$A$123:$M$130,10,FALSE)</f>
        <v>9.3397111922559137</v>
      </c>
      <c r="AO105" s="290">
        <f>AK105*VLOOKUP($AD105,'Look-ups'!$A$123:$M$130,9,FALSE)</f>
        <v>1.6757629208449443</v>
      </c>
      <c r="AP105" s="290">
        <f>(AL105+AM105)*VLOOKUP($AD105,'Look-ups'!$A$123:$M$130,8,FALSE)</f>
        <v>3.39871945632422</v>
      </c>
      <c r="AQ105" s="290">
        <f t="shared" si="2"/>
        <v>14.414193569425077</v>
      </c>
      <c r="AR105" s="292">
        <f>AJ105*VLOOKUP($AD105,'Look-ups'!$A$123:$M$130,11,FALSE)</f>
        <v>0.14867477544434088</v>
      </c>
      <c r="AS105" s="292">
        <f>AK105*VLOOKUP($AD105,'Look-ups'!$A$123:$M$130,12,FALSE)</f>
        <v>2.0708508689835639</v>
      </c>
      <c r="AT105" s="292">
        <f>(AL105+AM105)*VLOOKUP($AD105,'Look-ups'!$A$123:$M$130,13,FALSE)</f>
        <v>3.9297693713748798E-2</v>
      </c>
      <c r="AU105" s="292">
        <f t="shared" si="3"/>
        <v>2.2588233381416534</v>
      </c>
    </row>
    <row r="106" spans="1:57" x14ac:dyDescent="0.25">
      <c r="A106">
        <v>6003</v>
      </c>
      <c r="B106" t="s">
        <v>393</v>
      </c>
      <c r="C106">
        <v>1149.2735</v>
      </c>
      <c r="D106">
        <v>226653</v>
      </c>
      <c r="E106">
        <v>197.21415311498959</v>
      </c>
      <c r="F106" t="s">
        <v>171</v>
      </c>
      <c r="G106" t="s">
        <v>167</v>
      </c>
      <c r="H106">
        <f>VLOOKUP(CONCATENATE($G106,"-",$F106,"-",$H$2),'Look-ups'!$O$3:$S$34,5,FALSE)*VLOOKUP(CONCATENATE($F106,"-",$H$2,"-",H$3),'Look-ups'!$I$3:$M$24,5,FALSE)</f>
        <v>291.66666666666663</v>
      </c>
      <c r="I106">
        <f>VLOOKUP(CONCATENATE($G106,"-",$F106,"-",$H$2),'Look-ups'!$O$3:$S$34,5,FALSE)*VLOOKUP(CONCATENATE($F106,"-",$H$2,"-",I$3),'Look-ups'!$I$3:$M$24,5,FALSE)</f>
        <v>420</v>
      </c>
      <c r="J106">
        <f>VLOOKUP(CONCATENATE($G106,"-",$F106,"-",$H$2),'Look-ups'!$O$3:$S$34,5,FALSE)*VLOOKUP(CONCATENATE($F106,"-",$H$2,"-",J$3),'Look-ups'!$I$3:$M$24,5,FALSE)</f>
        <v>513.33333333333337</v>
      </c>
      <c r="K106">
        <f>VLOOKUP(CONCATENATE($G106,"-",$F106,"-",$H$2),'Look-ups'!$O$3:$S$34,5,FALSE)*VLOOKUP(CONCATENATE($F106,"-",$H$2,"-",K$3),'Look-ups'!$I$3:$M$24,5,FALSE)</f>
        <v>653.33333333333337</v>
      </c>
      <c r="L106">
        <f>VLOOKUP(CONCATENATE($G106,"-",$F106,"-",$H$2),'Look-ups'!$O$3:$S$34,5,FALSE)*VLOOKUP(CONCATENATE($F106,"-",$H$2,"-",L$3),'Look-ups'!$I$3:$M$24,5,FALSE)</f>
        <v>787.5</v>
      </c>
      <c r="M106">
        <f>VLOOKUP(CONCATENATE($G106,"-",$F106,"-",$H$2),'Look-ups'!$O$3:$S$34,5,FALSE)*VLOOKUP(CONCATENATE($F106,"-",$H$2,"-",M$3),'Look-ups'!$I$3:$M$24,5,FALSE)</f>
        <v>875.00000000000011</v>
      </c>
      <c r="N106">
        <f>VLOOKUP(CONCATENATE($G106,"-",$F106,"-",$N$2),'Look-ups'!$O$3:$S$34,5,FALSE)*VLOOKUP(CONCATENATE($F106,"-",$N$2,"-",N$3),'Look-ups'!$I$3:$M$24,5,FALSE)</f>
        <v>294.66666666666669</v>
      </c>
      <c r="O106">
        <f>VLOOKUP(CONCATENATE($G106,"-",$F106,"-",$N$2),'Look-ups'!$O$3:$S$34,5,FALSE)*VLOOKUP(CONCATENATE($F106,"-",$N$2,"-",O$3),'Look-ups'!$I$3:$M$24,5,FALSE)</f>
        <v>396.66666666666669</v>
      </c>
      <c r="P106">
        <f>VLOOKUP(CONCATENATE($G106,"-",$F106,"-",$N$2),'Look-ups'!$O$3:$S$34,5,FALSE)*VLOOKUP(CONCATENATE($F106,"-",$N$2,"-",P$3),'Look-ups'!$I$3:$M$24,5,FALSE)</f>
        <v>425</v>
      </c>
      <c r="Q106">
        <f>VLOOKUP(CONCATENATE($G106,"-",$F106,"-",$N$2),'Look-ups'!$O$3:$S$34,5,FALSE)*VLOOKUP(CONCATENATE($F106,"-",$N$2,"-",Q$3),'Look-ups'!$I$3:$M$24,5,FALSE)</f>
        <v>555.33333333333337</v>
      </c>
      <c r="R106">
        <f>VLOOKUP(CONCATENATE($G106,"-",$F106,"-",$N$2),'Look-ups'!$O$3:$S$34,5,FALSE)*VLOOKUP(CONCATENATE($F106,"-",$N$2,"-",R$3),'Look-ups'!$I$3:$M$24,5,FALSE)</f>
        <v>623.33333333333326</v>
      </c>
      <c r="S106" s="117">
        <f>VLOOKUP(CONCATENATE($G106,"-",$F106,"-Lone Person"),'Look-ups'!$Y$4:$AG$35,5,FALSE)</f>
        <v>92.02000000000001</v>
      </c>
      <c r="T106">
        <f>VLOOKUP(CONCATENATE($G106,"-",$F106,"-Lone Person"),'Look-ups'!$Y$4:$AG$35,6,FALSE)</f>
        <v>131.61000000000001</v>
      </c>
      <c r="U106">
        <f>VLOOKUP(CONCATENATE($G106,"-",$F106,"-Lone Person"),'Look-ups'!$Y$4:$AG$35,7,FALSE)</f>
        <v>157.29000000000002</v>
      </c>
      <c r="V106">
        <f>VLOOKUP(CONCATENATE($G106,"-",$F106,"-Lone Person"),'Look-ups'!$Y$4:$AG$35,8,FALSE)</f>
        <v>192.60000000000002</v>
      </c>
      <c r="W106">
        <f>VLOOKUP(CONCATENATE($G106,"-",$F106,"-Lone Person"),'Look-ups'!$Y$4:$AG$35,9,FALSE)</f>
        <v>182.97</v>
      </c>
      <c r="X106" s="117">
        <f>VLOOKUP(CONCATENATE($G106,"-",$F106,"-Couple Only"),'Look-ups'!$Y$4:$AG$35,5,FALSE)</f>
        <v>148.73000000000002</v>
      </c>
      <c r="Y106">
        <f>VLOOKUP(CONCATENATE($G106,"-",$F106,"-Couple Only"),'Look-ups'!$Y$4:$AG$35,6,FALSE)</f>
        <v>140.17000000000002</v>
      </c>
      <c r="Z106">
        <f>VLOOKUP(CONCATENATE($G106,"-",$F106,"-Couple Only"),'Look-ups'!$Y$4:$AG$35,7,FALSE)</f>
        <v>158.36000000000001</v>
      </c>
      <c r="AA106">
        <f>VLOOKUP(CONCATENATE($G106,"-",$F106,"-Couple Only"),'Look-ups'!$Y$4:$AG$35,8,FALSE)</f>
        <v>175.48000000000002</v>
      </c>
      <c r="AB106">
        <f>VLOOKUP(CONCATENATE($G106,"-",$F106,"-Couple Only"),'Look-ups'!$Y$4:$AG$35,9,FALSE)</f>
        <v>220.42000000000002</v>
      </c>
      <c r="AC106">
        <v>26</v>
      </c>
      <c r="AD106" t="s">
        <v>167</v>
      </c>
      <c r="AE106" s="287">
        <f>VLOOKUP($AD106,'Look-ups'!$A$122:$G$130,5,FALSE)</f>
        <v>0.3</v>
      </c>
      <c r="AF106" s="287">
        <f>VLOOKUP($AD106,'Look-ups'!$A$122:$G$130,6,FALSE)</f>
        <v>9.285714285714286E-2</v>
      </c>
      <c r="AG106" s="287">
        <f>VLOOKUP($AD106,'Look-ups'!$A$122:$G$130,7,FALSE)</f>
        <v>0.6071428571428571</v>
      </c>
      <c r="AH106" s="291">
        <f>VLOOKUP($AC106,'Look-ups'!$A$50:$AO$118,'Look-ups'!$B$133*4,FALSE)*0.277778</f>
        <v>91.030328974784581</v>
      </c>
      <c r="AI106" s="291">
        <f>VLOOKUP($AC106,'Look-ups'!$A$50:$AO$118,'Look-ups'!$B$133*4+1,FALSE)*0.277778</f>
        <v>3.1364130252154223</v>
      </c>
      <c r="AJ106" s="291">
        <f>AE106*$AH106/'Look-ups'!$B$141</f>
        <v>35.698168225405723</v>
      </c>
      <c r="AK106" s="291">
        <f>AF106*$AH106/'Look-ups'!$B$140</f>
        <v>11.579200358827785</v>
      </c>
      <c r="AL106" s="291">
        <f>AG106*$AH106/'Look-ups'!$B$137</f>
        <v>10.527316956267603</v>
      </c>
      <c r="AM106" s="291">
        <f>AI106/'Look-ups'!$B$136</f>
        <v>0.66029747899272051</v>
      </c>
      <c r="AN106" s="290">
        <f>AJ106*VLOOKUP($AD106,'Look-ups'!$A$123:$M$130,10,FALSE)</f>
        <v>9.6880862100614955</v>
      </c>
      <c r="AO106" s="290">
        <f>AK106*VLOOKUP($AD106,'Look-ups'!$A$123:$M$130,9,FALSE)</f>
        <v>1.7382695578672271</v>
      </c>
      <c r="AP106" s="290">
        <f>(AL106+AM106)*VLOOKUP($AD106,'Look-ups'!$A$123:$M$130,8,FALSE)</f>
        <v>3.5800366192833035</v>
      </c>
      <c r="AQ106" s="290">
        <f t="shared" si="2"/>
        <v>15.006392387212026</v>
      </c>
      <c r="AR106" s="292">
        <f>AJ106*VLOOKUP($AD106,'Look-ups'!$A$123:$M$130,11,FALSE)</f>
        <v>0.15422040490509006</v>
      </c>
      <c r="AS106" s="292">
        <f>AK106*VLOOKUP($AD106,'Look-ups'!$A$123:$M$130,12,FALSE)</f>
        <v>2.1480944468099357</v>
      </c>
      <c r="AT106" s="292">
        <f>(AL106+AM106)*VLOOKUP($AD106,'Look-ups'!$A$123:$M$130,13,FALSE)</f>
        <v>4.1394173410463198E-2</v>
      </c>
      <c r="AU106" s="292">
        <f t="shared" si="3"/>
        <v>2.3437090251254888</v>
      </c>
    </row>
    <row r="107" spans="1:57" x14ac:dyDescent="0.25">
      <c r="A107">
        <v>6004</v>
      </c>
      <c r="B107" t="s">
        <v>194</v>
      </c>
      <c r="C107">
        <v>435.41070000000002</v>
      </c>
      <c r="D107">
        <v>90953</v>
      </c>
      <c r="E107">
        <v>208.89013522175728</v>
      </c>
      <c r="F107" t="s">
        <v>172</v>
      </c>
      <c r="G107" t="s">
        <v>167</v>
      </c>
      <c r="H107">
        <f>VLOOKUP(CONCATENATE($G107,"-",$F107,"-",$H$2),'Look-ups'!$O$3:$S$34,5,FALSE)*VLOOKUP(CONCATENATE($F107,"-",$H$2,"-",H$3),'Look-ups'!$I$3:$M$24,5,FALSE)</f>
        <v>251.33333333333331</v>
      </c>
      <c r="I107">
        <f>VLOOKUP(CONCATENATE($G107,"-",$F107,"-",$H$2),'Look-ups'!$O$3:$S$34,5,FALSE)*VLOOKUP(CONCATENATE($F107,"-",$H$2,"-",I$3),'Look-ups'!$I$3:$M$24,5,FALSE)</f>
        <v>377</v>
      </c>
      <c r="J107">
        <f>VLOOKUP(CONCATENATE($G107,"-",$F107,"-",$H$2),'Look-ups'!$O$3:$S$34,5,FALSE)*VLOOKUP(CONCATENATE($F107,"-",$H$2,"-",J$3),'Look-ups'!$I$3:$M$24,5,FALSE)</f>
        <v>439.83333333333337</v>
      </c>
      <c r="K107">
        <f>VLOOKUP(CONCATENATE($G107,"-",$F107,"-",$H$2),'Look-ups'!$O$3:$S$34,5,FALSE)*VLOOKUP(CONCATENATE($F107,"-",$H$2,"-",K$3),'Look-ups'!$I$3:$M$24,5,FALSE)</f>
        <v>565.5</v>
      </c>
      <c r="L107">
        <f>VLOOKUP(CONCATENATE($G107,"-",$F107,"-",$H$2),'Look-ups'!$O$3:$S$34,5,FALSE)*VLOOKUP(CONCATENATE($F107,"-",$H$2,"-",L$3),'Look-ups'!$I$3:$M$24,5,FALSE)</f>
        <v>628.33333333333337</v>
      </c>
      <c r="M107">
        <f>VLOOKUP(CONCATENATE($G107,"-",$F107,"-",$H$2),'Look-ups'!$O$3:$S$34,5,FALSE)*VLOOKUP(CONCATENATE($F107,"-",$H$2,"-",M$3),'Look-ups'!$I$3:$M$24,5,FALSE)</f>
        <v>691.16666666666663</v>
      </c>
      <c r="N107">
        <f>VLOOKUP(CONCATENATE($G107,"-",$F107,"-",$N$2),'Look-ups'!$O$3:$S$34,5,FALSE)*VLOOKUP(CONCATENATE($F107,"-",$N$2,"-",N$3),'Look-ups'!$I$3:$M$24,5,FALSE)</f>
        <v>250.5</v>
      </c>
      <c r="O107">
        <f>VLOOKUP(CONCATENATE($G107,"-",$F107,"-",$N$2),'Look-ups'!$O$3:$S$34,5,FALSE)*VLOOKUP(CONCATENATE($F107,"-",$N$2,"-",O$3),'Look-ups'!$I$3:$M$24,5,FALSE)</f>
        <v>250.5</v>
      </c>
      <c r="P107">
        <f>VLOOKUP(CONCATENATE($G107,"-",$F107,"-",$N$2),'Look-ups'!$O$3:$S$34,5,FALSE)*VLOOKUP(CONCATENATE($F107,"-",$N$2,"-",P$3),'Look-ups'!$I$3:$M$24,5,FALSE)</f>
        <v>334</v>
      </c>
      <c r="Q107">
        <f>VLOOKUP(CONCATENATE($G107,"-",$F107,"-",$N$2),'Look-ups'!$O$3:$S$34,5,FALSE)*VLOOKUP(CONCATENATE($F107,"-",$N$2,"-",Q$3),'Look-ups'!$I$3:$M$24,5,FALSE)</f>
        <v>429.42857142857144</v>
      </c>
      <c r="R107">
        <f>VLOOKUP(CONCATENATE($G107,"-",$F107,"-",$N$2),'Look-ups'!$O$3:$S$34,5,FALSE)*VLOOKUP(CONCATENATE($F107,"-",$N$2,"-",R$3),'Look-ups'!$I$3:$M$24,5,FALSE)</f>
        <v>489.07142857142856</v>
      </c>
      <c r="S107" s="117">
        <f>VLOOKUP(CONCATENATE($G107,"-",$F107,"-Lone Person"),'Look-ups'!$Y$4:$AG$35,5,FALSE)</f>
        <v>139.1</v>
      </c>
      <c r="T107">
        <f>VLOOKUP(CONCATENATE($G107,"-",$F107,"-Lone Person"),'Look-ups'!$Y$4:$AG$35,6,FALSE)</f>
        <v>197.95000000000002</v>
      </c>
      <c r="U107">
        <f>VLOOKUP(CONCATENATE($G107,"-",$F107,"-Lone Person"),'Look-ups'!$Y$4:$AG$35,7,FALSE)</f>
        <v>237.54000000000002</v>
      </c>
      <c r="V107">
        <f>VLOOKUP(CONCATENATE($G107,"-",$F107,"-Lone Person"),'Look-ups'!$Y$4:$AG$35,8,FALSE)</f>
        <v>291.04000000000002</v>
      </c>
      <c r="W107">
        <f>VLOOKUP(CONCATENATE($G107,"-",$F107,"-Lone Person"),'Look-ups'!$Y$4:$AG$35,9,FALSE)</f>
        <v>276.06</v>
      </c>
      <c r="X107" s="117">
        <f>VLOOKUP(CONCATENATE($G107,"-",$F107,"-Couple Only"),'Look-ups'!$Y$4:$AG$35,5,FALSE)</f>
        <v>224.70000000000002</v>
      </c>
      <c r="Y107">
        <f>VLOOKUP(CONCATENATE($G107,"-",$F107,"-Couple Only"),'Look-ups'!$Y$4:$AG$35,6,FALSE)</f>
        <v>211.86</v>
      </c>
      <c r="Z107">
        <f>VLOOKUP(CONCATENATE($G107,"-",$F107,"-Couple Only"),'Look-ups'!$Y$4:$AG$35,7,FALSE)</f>
        <v>239.68</v>
      </c>
      <c r="AA107">
        <f>VLOOKUP(CONCATENATE($G107,"-",$F107,"-Couple Only"),'Look-ups'!$Y$4:$AG$35,8,FALSE)</f>
        <v>265.36</v>
      </c>
      <c r="AB107">
        <f>VLOOKUP(CONCATENATE($G107,"-",$F107,"-Couple Only"),'Look-ups'!$Y$4:$AG$35,9,FALSE)</f>
        <v>332.77000000000004</v>
      </c>
      <c r="AC107">
        <v>23</v>
      </c>
      <c r="AD107" t="s">
        <v>167</v>
      </c>
      <c r="AE107" s="287">
        <f>VLOOKUP($AD107,'Look-ups'!$A$122:$G$130,5,FALSE)</f>
        <v>0.3</v>
      </c>
      <c r="AF107" s="287">
        <f>VLOOKUP($AD107,'Look-ups'!$A$122:$G$130,6,FALSE)</f>
        <v>9.285714285714286E-2</v>
      </c>
      <c r="AG107" s="287">
        <f>VLOOKUP($AD107,'Look-ups'!$A$122:$G$130,7,FALSE)</f>
        <v>0.6071428571428571</v>
      </c>
      <c r="AH107" s="291">
        <f>VLOOKUP($AC107,'Look-ups'!$A$50:$AO$118,'Look-ups'!$B$133*4,FALSE)*0.277778</f>
        <v>89.611369106567025</v>
      </c>
      <c r="AI107" s="291">
        <f>VLOOKUP($AC107,'Look-ups'!$A$50:$AO$118,'Look-ups'!$B$133*4+1,FALSE)*0.277778</f>
        <v>7.6109308934329878</v>
      </c>
      <c r="AJ107" s="291">
        <f>AE107*$AH107/'Look-ups'!$B$141</f>
        <v>35.141713375124326</v>
      </c>
      <c r="AK107" s="291">
        <f>AF107*$AH107/'Look-ups'!$B$140</f>
        <v>11.398706442126921</v>
      </c>
      <c r="AL107" s="291">
        <f>AG107*$AH107/'Look-ups'!$B$137</f>
        <v>10.363219556541765</v>
      </c>
      <c r="AM107" s="291">
        <f>AI107/'Look-ups'!$B$136</f>
        <v>1.6023012407227342</v>
      </c>
      <c r="AN107" s="290">
        <f>AJ107*VLOOKUP($AD107,'Look-ups'!$A$123:$M$130,10,FALSE)</f>
        <v>9.5370705465267953</v>
      </c>
      <c r="AO107" s="290">
        <f>AK107*VLOOKUP($AD107,'Look-ups'!$A$123:$M$130,9,FALSE)</f>
        <v>1.7111738110920933</v>
      </c>
      <c r="AP107" s="290">
        <f>(AL107+AM107)*VLOOKUP($AD107,'Look-ups'!$A$123:$M$130,8,FALSE)</f>
        <v>3.8289666551246397</v>
      </c>
      <c r="AQ107" s="290">
        <f t="shared" si="2"/>
        <v>15.077211012743529</v>
      </c>
      <c r="AR107" s="292">
        <f>AJ107*VLOOKUP($AD107,'Look-ups'!$A$123:$M$130,11,FALSE)</f>
        <v>0.15181645264121102</v>
      </c>
      <c r="AS107" s="292">
        <f>AK107*VLOOKUP($AD107,'Look-ups'!$A$123:$M$130,12,FALSE)</f>
        <v>2.1146104437585063</v>
      </c>
      <c r="AT107" s="292">
        <f>(AL107+AM107)*VLOOKUP($AD107,'Look-ups'!$A$123:$M$130,13,FALSE)</f>
        <v>4.4272426949878652E-2</v>
      </c>
      <c r="AU107" s="292">
        <f t="shared" si="3"/>
        <v>2.3106993233495956</v>
      </c>
    </row>
    <row r="108" spans="1:57" x14ac:dyDescent="0.25">
      <c r="A108">
        <v>6005</v>
      </c>
      <c r="B108" t="s">
        <v>394</v>
      </c>
      <c r="C108">
        <v>129.95070000000001</v>
      </c>
      <c r="D108">
        <v>15086</v>
      </c>
      <c r="E108">
        <v>116.09017881396559</v>
      </c>
      <c r="F108" t="s">
        <v>172</v>
      </c>
      <c r="G108" t="s">
        <v>167</v>
      </c>
      <c r="H108">
        <f>VLOOKUP(CONCATENATE($G108,"-",$F108,"-",$H$2),'Look-ups'!$O$3:$S$34,5,FALSE)*VLOOKUP(CONCATENATE($F108,"-",$H$2,"-",H$3),'Look-ups'!$I$3:$M$24,5,FALSE)</f>
        <v>251.33333333333331</v>
      </c>
      <c r="I108">
        <f>VLOOKUP(CONCATENATE($G108,"-",$F108,"-",$H$2),'Look-ups'!$O$3:$S$34,5,FALSE)*VLOOKUP(CONCATENATE($F108,"-",$H$2,"-",I$3),'Look-ups'!$I$3:$M$24,5,FALSE)</f>
        <v>377</v>
      </c>
      <c r="J108">
        <f>VLOOKUP(CONCATENATE($G108,"-",$F108,"-",$H$2),'Look-ups'!$O$3:$S$34,5,FALSE)*VLOOKUP(CONCATENATE($F108,"-",$H$2,"-",J$3),'Look-ups'!$I$3:$M$24,5,FALSE)</f>
        <v>439.83333333333337</v>
      </c>
      <c r="K108">
        <f>VLOOKUP(CONCATENATE($G108,"-",$F108,"-",$H$2),'Look-ups'!$O$3:$S$34,5,FALSE)*VLOOKUP(CONCATENATE($F108,"-",$H$2,"-",K$3),'Look-ups'!$I$3:$M$24,5,FALSE)</f>
        <v>565.5</v>
      </c>
      <c r="L108">
        <f>VLOOKUP(CONCATENATE($G108,"-",$F108,"-",$H$2),'Look-ups'!$O$3:$S$34,5,FALSE)*VLOOKUP(CONCATENATE($F108,"-",$H$2,"-",L$3),'Look-ups'!$I$3:$M$24,5,FALSE)</f>
        <v>628.33333333333337</v>
      </c>
      <c r="M108">
        <f>VLOOKUP(CONCATENATE($G108,"-",$F108,"-",$H$2),'Look-ups'!$O$3:$S$34,5,FALSE)*VLOOKUP(CONCATENATE($F108,"-",$H$2,"-",M$3),'Look-ups'!$I$3:$M$24,5,FALSE)</f>
        <v>691.16666666666663</v>
      </c>
      <c r="N108">
        <f>VLOOKUP(CONCATENATE($G108,"-",$F108,"-",$N$2),'Look-ups'!$O$3:$S$34,5,FALSE)*VLOOKUP(CONCATENATE($F108,"-",$N$2,"-",N$3),'Look-ups'!$I$3:$M$24,5,FALSE)</f>
        <v>250.5</v>
      </c>
      <c r="O108">
        <f>VLOOKUP(CONCATENATE($G108,"-",$F108,"-",$N$2),'Look-ups'!$O$3:$S$34,5,FALSE)*VLOOKUP(CONCATENATE($F108,"-",$N$2,"-",O$3),'Look-ups'!$I$3:$M$24,5,FALSE)</f>
        <v>250.5</v>
      </c>
      <c r="P108">
        <f>VLOOKUP(CONCATENATE($G108,"-",$F108,"-",$N$2),'Look-ups'!$O$3:$S$34,5,FALSE)*VLOOKUP(CONCATENATE($F108,"-",$N$2,"-",P$3),'Look-ups'!$I$3:$M$24,5,FALSE)</f>
        <v>334</v>
      </c>
      <c r="Q108">
        <f>VLOOKUP(CONCATENATE($G108,"-",$F108,"-",$N$2),'Look-ups'!$O$3:$S$34,5,FALSE)*VLOOKUP(CONCATENATE($F108,"-",$N$2,"-",Q$3),'Look-ups'!$I$3:$M$24,5,FALSE)</f>
        <v>429.42857142857144</v>
      </c>
      <c r="R108">
        <f>VLOOKUP(CONCATENATE($G108,"-",$F108,"-",$N$2),'Look-ups'!$O$3:$S$34,5,FALSE)*VLOOKUP(CONCATENATE($F108,"-",$N$2,"-",R$3),'Look-ups'!$I$3:$M$24,5,FALSE)</f>
        <v>489.07142857142856</v>
      </c>
      <c r="S108" s="117">
        <f>VLOOKUP(CONCATENATE($G108,"-",$F108,"-Lone Person"),'Look-ups'!$Y$4:$AG$35,5,FALSE)</f>
        <v>139.1</v>
      </c>
      <c r="T108">
        <f>VLOOKUP(CONCATENATE($G108,"-",$F108,"-Lone Person"),'Look-ups'!$Y$4:$AG$35,6,FALSE)</f>
        <v>197.95000000000002</v>
      </c>
      <c r="U108">
        <f>VLOOKUP(CONCATENATE($G108,"-",$F108,"-Lone Person"),'Look-ups'!$Y$4:$AG$35,7,FALSE)</f>
        <v>237.54000000000002</v>
      </c>
      <c r="V108">
        <f>VLOOKUP(CONCATENATE($G108,"-",$F108,"-Lone Person"),'Look-ups'!$Y$4:$AG$35,8,FALSE)</f>
        <v>291.04000000000002</v>
      </c>
      <c r="W108">
        <f>VLOOKUP(CONCATENATE($G108,"-",$F108,"-Lone Person"),'Look-ups'!$Y$4:$AG$35,9,FALSE)</f>
        <v>276.06</v>
      </c>
      <c r="X108" s="117">
        <f>VLOOKUP(CONCATENATE($G108,"-",$F108,"-Couple Only"),'Look-ups'!$Y$4:$AG$35,5,FALSE)</f>
        <v>224.70000000000002</v>
      </c>
      <c r="Y108">
        <f>VLOOKUP(CONCATENATE($G108,"-",$F108,"-Couple Only"),'Look-ups'!$Y$4:$AG$35,6,FALSE)</f>
        <v>211.86</v>
      </c>
      <c r="Z108">
        <f>VLOOKUP(CONCATENATE($G108,"-",$F108,"-Couple Only"),'Look-ups'!$Y$4:$AG$35,7,FALSE)</f>
        <v>239.68</v>
      </c>
      <c r="AA108">
        <f>VLOOKUP(CONCATENATE($G108,"-",$F108,"-Couple Only"),'Look-ups'!$Y$4:$AG$35,8,FALSE)</f>
        <v>265.36</v>
      </c>
      <c r="AB108">
        <f>VLOOKUP(CONCATENATE($G108,"-",$F108,"-Couple Only"),'Look-ups'!$Y$4:$AG$35,9,FALSE)</f>
        <v>332.77000000000004</v>
      </c>
      <c r="AC108">
        <v>67</v>
      </c>
      <c r="AD108" t="s">
        <v>167</v>
      </c>
      <c r="AE108" s="287">
        <f>VLOOKUP($AD108,'Look-ups'!$A$122:$G$130,5,FALSE)</f>
        <v>0.3</v>
      </c>
      <c r="AF108" s="287">
        <f>VLOOKUP($AD108,'Look-ups'!$A$122:$G$130,6,FALSE)</f>
        <v>9.285714285714286E-2</v>
      </c>
      <c r="AG108" s="287">
        <f>VLOOKUP($AD108,'Look-ups'!$A$122:$G$130,7,FALSE)</f>
        <v>0.6071428571428571</v>
      </c>
      <c r="AH108" s="291">
        <f>VLOOKUP($AC108,'Look-ups'!$A$50:$AO$118,'Look-ups'!$B$133*4,FALSE)*0.277778</f>
        <v>87.756958797245943</v>
      </c>
      <c r="AI108" s="291">
        <f>VLOOKUP($AC108,'Look-ups'!$A$50:$AO$118,'Look-ups'!$B$133*4+1,FALSE)*0.277778</f>
        <v>2.2431132027540799</v>
      </c>
      <c r="AJ108" s="291">
        <f>AE108*$AH108/'Look-ups'!$B$141</f>
        <v>34.414493645978808</v>
      </c>
      <c r="AK108" s="291">
        <f>AF108*$AH108/'Look-ups'!$B$140</f>
        <v>11.162822547594885</v>
      </c>
      <c r="AL108" s="291">
        <f>AG108*$AH108/'Look-ups'!$B$137</f>
        <v>10.148763942538645</v>
      </c>
      <c r="AM108" s="291">
        <f>AI108/'Look-ups'!$B$136</f>
        <v>0.47223435847454315</v>
      </c>
      <c r="AN108" s="290">
        <f>AJ108*VLOOKUP($AD108,'Look-ups'!$A$123:$M$130,10,FALSE)</f>
        <v>9.3397111922559137</v>
      </c>
      <c r="AO108" s="290">
        <f>AK108*VLOOKUP($AD108,'Look-ups'!$A$123:$M$130,9,FALSE)</f>
        <v>1.6757629208449443</v>
      </c>
      <c r="AP108" s="290">
        <f>(AL108+AM108)*VLOOKUP($AD108,'Look-ups'!$A$123:$M$130,8,FALSE)</f>
        <v>3.39871945632422</v>
      </c>
      <c r="AQ108" s="290">
        <f t="shared" si="2"/>
        <v>14.414193569425077</v>
      </c>
      <c r="AR108" s="292">
        <f>AJ108*VLOOKUP($AD108,'Look-ups'!$A$123:$M$130,11,FALSE)</f>
        <v>0.14867477544434088</v>
      </c>
      <c r="AS108" s="292">
        <f>AK108*VLOOKUP($AD108,'Look-ups'!$A$123:$M$130,12,FALSE)</f>
        <v>2.0708508689835639</v>
      </c>
      <c r="AT108" s="292">
        <f>(AL108+AM108)*VLOOKUP($AD108,'Look-ups'!$A$123:$M$130,13,FALSE)</f>
        <v>3.9297693713748798E-2</v>
      </c>
      <c r="AU108" s="292">
        <f t="shared" si="3"/>
        <v>2.2588233381416534</v>
      </c>
    </row>
    <row r="109" spans="1:57" x14ac:dyDescent="0.25">
      <c r="A109">
        <v>7000</v>
      </c>
      <c r="B109" t="s">
        <v>395</v>
      </c>
      <c r="C109">
        <v>1347428.7408</v>
      </c>
      <c r="D109">
        <v>79475</v>
      </c>
      <c r="E109">
        <v>5.8982710991316564E-2</v>
      </c>
      <c r="F109" t="s">
        <v>172</v>
      </c>
      <c r="G109" t="s">
        <v>164</v>
      </c>
      <c r="H109">
        <f>VLOOKUP(CONCATENATE($G109,"-",$F109,"-",$H$2),'Look-ups'!$O$3:$S$34,5,FALSE)*VLOOKUP(CONCATENATE($F109,"-",$H$2,"-",H$3),'Look-ups'!$I$3:$M$24,5,FALSE)</f>
        <v>293.33333333333331</v>
      </c>
      <c r="I109">
        <f>VLOOKUP(CONCATENATE($G109,"-",$F109,"-",$H$2),'Look-ups'!$O$3:$S$34,5,FALSE)*VLOOKUP(CONCATENATE($F109,"-",$H$2,"-",I$3),'Look-ups'!$I$3:$M$24,5,FALSE)</f>
        <v>440</v>
      </c>
      <c r="J109">
        <f>VLOOKUP(CONCATENATE($G109,"-",$F109,"-",$H$2),'Look-ups'!$O$3:$S$34,5,FALSE)*VLOOKUP(CONCATENATE($F109,"-",$H$2,"-",J$3),'Look-ups'!$I$3:$M$24,5,FALSE)</f>
        <v>513.33333333333337</v>
      </c>
      <c r="K109">
        <f>VLOOKUP(CONCATENATE($G109,"-",$F109,"-",$H$2),'Look-ups'!$O$3:$S$34,5,FALSE)*VLOOKUP(CONCATENATE($F109,"-",$H$2,"-",K$3),'Look-ups'!$I$3:$M$24,5,FALSE)</f>
        <v>660</v>
      </c>
      <c r="L109">
        <f>VLOOKUP(CONCATENATE($G109,"-",$F109,"-",$H$2),'Look-ups'!$O$3:$S$34,5,FALSE)*VLOOKUP(CONCATENATE($F109,"-",$H$2,"-",L$3),'Look-ups'!$I$3:$M$24,5,FALSE)</f>
        <v>733.33333333333337</v>
      </c>
      <c r="M109">
        <f>VLOOKUP(CONCATENATE($G109,"-",$F109,"-",$H$2),'Look-ups'!$O$3:$S$34,5,FALSE)*VLOOKUP(CONCATENATE($F109,"-",$H$2,"-",M$3),'Look-ups'!$I$3:$M$24,5,FALSE)</f>
        <v>806.66666666666663</v>
      </c>
      <c r="N109">
        <f>VLOOKUP(CONCATENATE($G109,"-",$F109,"-",$N$2),'Look-ups'!$O$3:$S$34,5,FALSE)*VLOOKUP(CONCATENATE($F109,"-",$N$2,"-",N$3),'Look-ups'!$I$3:$M$24,5,FALSE)</f>
        <v>303.75</v>
      </c>
      <c r="O109">
        <f>VLOOKUP(CONCATENATE($G109,"-",$F109,"-",$N$2),'Look-ups'!$O$3:$S$34,5,FALSE)*VLOOKUP(CONCATENATE($F109,"-",$N$2,"-",O$3),'Look-ups'!$I$3:$M$24,5,FALSE)</f>
        <v>303.75</v>
      </c>
      <c r="P109">
        <f>VLOOKUP(CONCATENATE($G109,"-",$F109,"-",$N$2),'Look-ups'!$O$3:$S$34,5,FALSE)*VLOOKUP(CONCATENATE($F109,"-",$N$2,"-",P$3),'Look-ups'!$I$3:$M$24,5,FALSE)</f>
        <v>405</v>
      </c>
      <c r="Q109">
        <f>VLOOKUP(CONCATENATE($G109,"-",$F109,"-",$N$2),'Look-ups'!$O$3:$S$34,5,FALSE)*VLOOKUP(CONCATENATE($F109,"-",$N$2,"-",Q$3),'Look-ups'!$I$3:$M$24,5,FALSE)</f>
        <v>520.71428571428578</v>
      </c>
      <c r="R109">
        <f>VLOOKUP(CONCATENATE($G109,"-",$F109,"-",$N$2),'Look-ups'!$O$3:$S$34,5,FALSE)*VLOOKUP(CONCATENATE($F109,"-",$N$2,"-",R$3),'Look-ups'!$I$3:$M$24,5,FALSE)</f>
        <v>593.03571428571422</v>
      </c>
      <c r="S109" s="117">
        <f>VLOOKUP(CONCATENATE($G109,"-",$F109,"-Lone Person"),'Look-ups'!$Y$4:$AG$35,5,FALSE)</f>
        <v>131.61000000000001</v>
      </c>
      <c r="T109">
        <f>VLOOKUP(CONCATENATE($G109,"-",$F109,"-Lone Person"),'Look-ups'!$Y$4:$AG$35,6,FALSE)</f>
        <v>188.32000000000002</v>
      </c>
      <c r="U109">
        <f>VLOOKUP(CONCATENATE($G109,"-",$F109,"-Lone Person"),'Look-ups'!$Y$4:$AG$35,7,FALSE)</f>
        <v>225.77</v>
      </c>
      <c r="V109">
        <f>VLOOKUP(CONCATENATE($G109,"-",$F109,"-Lone Person"),'Look-ups'!$Y$4:$AG$35,8,FALSE)</f>
        <v>276.06</v>
      </c>
      <c r="W109">
        <f>VLOOKUP(CONCATENATE($G109,"-",$F109,"-Lone Person"),'Look-ups'!$Y$4:$AG$35,9,FALSE)</f>
        <v>262.15000000000003</v>
      </c>
      <c r="X109" s="117">
        <f>VLOOKUP(CONCATENATE($G109,"-",$F109,"-Couple Only"),'Look-ups'!$Y$4:$AG$35,5,FALSE)</f>
        <v>212.93</v>
      </c>
      <c r="Y109">
        <f>VLOOKUP(CONCATENATE($G109,"-",$F109,"-Couple Only"),'Look-ups'!$Y$4:$AG$35,6,FALSE)</f>
        <v>202.23000000000002</v>
      </c>
      <c r="Z109">
        <f>VLOOKUP(CONCATENATE($G109,"-",$F109,"-Couple Only"),'Look-ups'!$Y$4:$AG$35,7,FALSE)</f>
        <v>227.91000000000003</v>
      </c>
      <c r="AA109">
        <f>VLOOKUP(CONCATENATE($G109,"-",$F109,"-Couple Only"),'Look-ups'!$Y$4:$AG$35,8,FALSE)</f>
        <v>252.52</v>
      </c>
      <c r="AB109">
        <f>VLOOKUP(CONCATENATE($G109,"-",$F109,"-Couple Only"),'Look-ups'!$Y$4:$AG$35,9,FALSE)</f>
        <v>316.72000000000003</v>
      </c>
      <c r="AC109">
        <v>37</v>
      </c>
      <c r="AD109" t="s">
        <v>164</v>
      </c>
      <c r="AE109" s="287">
        <f>VLOOKUP($AD109,'Look-ups'!$A$122:$G$130,5,FALSE)</f>
        <v>2.7027027027027032E-2</v>
      </c>
      <c r="AF109" s="287">
        <f>VLOOKUP($AD109,'Look-ups'!$A$122:$G$130,6,FALSE)</f>
        <v>0.10810810810810813</v>
      </c>
      <c r="AG109" s="287">
        <f>VLOOKUP($AD109,'Look-ups'!$A$122:$G$130,7,FALSE)</f>
        <v>0.8648648648648648</v>
      </c>
      <c r="AH109" s="291">
        <f>VLOOKUP($AC109,'Look-ups'!$A$50:$AO$118,'Look-ups'!$B$133*4,FALSE)*0.277778</f>
        <v>3.2614873521531501E-2</v>
      </c>
      <c r="AI109" s="291">
        <f>VLOOKUP($AC109,'Look-ups'!$A$50:$AO$118,'Look-ups'!$B$133*4+1,FALSE)*0.277778</f>
        <v>105.52302512647847</v>
      </c>
      <c r="AJ109" s="291">
        <f>AE109*$AH109/'Look-ups'!$B$141</f>
        <v>1.1522654485614384E-3</v>
      </c>
      <c r="AK109" s="291">
        <f>AF109*$AH109/'Look-ups'!$B$140</f>
        <v>4.8300442090383573E-3</v>
      </c>
      <c r="AL109" s="291">
        <f>AG109*$AH109/'Look-ups'!$B$137</f>
        <v>5.3728491772921903E-3</v>
      </c>
      <c r="AM109" s="291">
        <f>AI109/'Look-ups'!$B$136</f>
        <v>22.215373710837572</v>
      </c>
      <c r="AN109" s="290">
        <f>AJ109*VLOOKUP($AD109,'Look-ups'!$A$123:$M$130,10,FALSE)</f>
        <v>3.1271203979014588E-4</v>
      </c>
      <c r="AO109" s="290">
        <f>AK109*VLOOKUP($AD109,'Look-ups'!$A$123:$M$130,9,FALSE)</f>
        <v>2.8980265254230143E-3</v>
      </c>
      <c r="AP109" s="290">
        <f>(AL109+AM109)*VLOOKUP($AD109,'Look-ups'!$A$123:$M$130,8,FALSE)</f>
        <v>7.1106388992047567</v>
      </c>
      <c r="AQ109" s="290">
        <f t="shared" si="2"/>
        <v>7.1138496377699703</v>
      </c>
      <c r="AR109" s="292">
        <f>AJ109*VLOOKUP($AD109,'Look-ups'!$A$123:$M$130,11,FALSE)</f>
        <v>4.9779261197167658E-6</v>
      </c>
      <c r="AS109" s="292">
        <f>AK109*VLOOKUP($AD109,'Look-ups'!$A$123:$M$130,12,FALSE)</f>
        <v>8.9603693016433229E-4</v>
      </c>
      <c r="AT109" s="292">
        <f>(AL109+AM109)*VLOOKUP($AD109,'Look-ups'!$A$123:$M$130,13,FALSE)</f>
        <v>4.1308367855067631</v>
      </c>
      <c r="AU109" s="292">
        <f t="shared" si="3"/>
        <v>4.1317378003630472</v>
      </c>
      <c r="BE109" s="117"/>
    </row>
    <row r="110" spans="1:57" s="117" customFormat="1" x14ac:dyDescent="0.25">
      <c r="A110" s="117">
        <v>7001</v>
      </c>
      <c r="B110" s="117" t="s">
        <v>396</v>
      </c>
      <c r="C110" s="117">
        <v>327.71319999999901</v>
      </c>
      <c r="D110" s="117">
        <v>25912</v>
      </c>
      <c r="E110" s="117">
        <v>79.069137282233612</v>
      </c>
      <c r="F110" s="117" t="s">
        <v>172</v>
      </c>
      <c r="G110" s="117" t="s">
        <v>164</v>
      </c>
      <c r="H110" s="117">
        <f>VLOOKUP(CONCATENATE($G110,"-",$F110,"-",$H$2),'Look-ups'!$O$3:$S$34,5,FALSE)*VLOOKUP(CONCATENATE($F110,"-",$H$2,"-",H$3),'Look-ups'!$I$3:$M$24,5,FALSE)</f>
        <v>293.33333333333331</v>
      </c>
      <c r="I110" s="117">
        <f>VLOOKUP(CONCATENATE($G110,"-",$F110,"-",$H$2),'Look-ups'!$O$3:$S$34,5,FALSE)*VLOOKUP(CONCATENATE($F110,"-",$H$2,"-",I$3),'Look-ups'!$I$3:$M$24,5,FALSE)</f>
        <v>440</v>
      </c>
      <c r="J110" s="117">
        <f>VLOOKUP(CONCATENATE($G110,"-",$F110,"-",$H$2),'Look-ups'!$O$3:$S$34,5,FALSE)*VLOOKUP(CONCATENATE($F110,"-",$H$2,"-",J$3),'Look-ups'!$I$3:$M$24,5,FALSE)</f>
        <v>513.33333333333337</v>
      </c>
      <c r="K110" s="117">
        <f>VLOOKUP(CONCATENATE($G110,"-",$F110,"-",$H$2),'Look-ups'!$O$3:$S$34,5,FALSE)*VLOOKUP(CONCATENATE($F110,"-",$H$2,"-",K$3),'Look-ups'!$I$3:$M$24,5,FALSE)</f>
        <v>660</v>
      </c>
      <c r="L110" s="117">
        <f>VLOOKUP(CONCATENATE($G110,"-",$F110,"-",$H$2),'Look-ups'!$O$3:$S$34,5,FALSE)*VLOOKUP(CONCATENATE($F110,"-",$H$2,"-",L$3),'Look-ups'!$I$3:$M$24,5,FALSE)</f>
        <v>733.33333333333337</v>
      </c>
      <c r="M110" s="117">
        <f>VLOOKUP(CONCATENATE($G110,"-",$F110,"-",$H$2),'Look-ups'!$O$3:$S$34,5,FALSE)*VLOOKUP(CONCATENATE($F110,"-",$H$2,"-",M$3),'Look-ups'!$I$3:$M$24,5,FALSE)</f>
        <v>806.66666666666663</v>
      </c>
      <c r="N110" s="117">
        <f>VLOOKUP(CONCATENATE($G110,"-",$F110,"-",$N$2),'Look-ups'!$O$3:$S$34,5,FALSE)*VLOOKUP(CONCATENATE($F110,"-",$N$2,"-",N$3),'Look-ups'!$I$3:$M$24,5,FALSE)</f>
        <v>303.75</v>
      </c>
      <c r="O110" s="117">
        <f>VLOOKUP(CONCATENATE($G110,"-",$F110,"-",$N$2),'Look-ups'!$O$3:$S$34,5,FALSE)*VLOOKUP(CONCATENATE($F110,"-",$N$2,"-",O$3),'Look-ups'!$I$3:$M$24,5,FALSE)</f>
        <v>303.75</v>
      </c>
      <c r="P110" s="117">
        <f>VLOOKUP(CONCATENATE($G110,"-",$F110,"-",$N$2),'Look-ups'!$O$3:$S$34,5,FALSE)*VLOOKUP(CONCATENATE($F110,"-",$N$2,"-",P$3),'Look-ups'!$I$3:$M$24,5,FALSE)</f>
        <v>405</v>
      </c>
      <c r="Q110" s="117">
        <f>VLOOKUP(CONCATENATE($G110,"-",$F110,"-",$N$2),'Look-ups'!$O$3:$S$34,5,FALSE)*VLOOKUP(CONCATENATE($F110,"-",$N$2,"-",Q$3),'Look-ups'!$I$3:$M$24,5,FALSE)</f>
        <v>520.71428571428578</v>
      </c>
      <c r="R110" s="117">
        <f>VLOOKUP(CONCATENATE($G110,"-",$F110,"-",$N$2),'Look-ups'!$O$3:$S$34,5,FALSE)*VLOOKUP(CONCATENATE($F110,"-",$N$2,"-",R$3),'Look-ups'!$I$3:$M$24,5,FALSE)</f>
        <v>593.03571428571422</v>
      </c>
      <c r="S110" s="117">
        <f>VLOOKUP(CONCATENATE($G110,"-",$F110,"-Lone Person"),'Look-ups'!$Y$4:$AG$35,5,FALSE)</f>
        <v>131.61000000000001</v>
      </c>
      <c r="T110" s="117">
        <f>VLOOKUP(CONCATENATE($G110,"-",$F110,"-Lone Person"),'Look-ups'!$Y$4:$AG$35,6,FALSE)</f>
        <v>188.32000000000002</v>
      </c>
      <c r="U110" s="117">
        <f>VLOOKUP(CONCATENATE($G110,"-",$F110,"-Lone Person"),'Look-ups'!$Y$4:$AG$35,7,FALSE)</f>
        <v>225.77</v>
      </c>
      <c r="V110" s="117">
        <f>VLOOKUP(CONCATENATE($G110,"-",$F110,"-Lone Person"),'Look-ups'!$Y$4:$AG$35,8,FALSE)</f>
        <v>276.06</v>
      </c>
      <c r="W110" s="117">
        <f>VLOOKUP(CONCATENATE($G110,"-",$F110,"-Lone Person"),'Look-ups'!$Y$4:$AG$35,9,FALSE)</f>
        <v>262.15000000000003</v>
      </c>
      <c r="X110" s="117">
        <f>VLOOKUP(CONCATENATE($G110,"-",$F110,"-Couple Only"),'Look-ups'!$Y$4:$AG$35,5,FALSE)</f>
        <v>212.93</v>
      </c>
      <c r="Y110" s="117">
        <f>VLOOKUP(CONCATENATE($G110,"-",$F110,"-Couple Only"),'Look-ups'!$Y$4:$AG$35,6,FALSE)</f>
        <v>202.23000000000002</v>
      </c>
      <c r="Z110" s="117">
        <f>VLOOKUP(CONCATENATE($G110,"-",$F110,"-Couple Only"),'Look-ups'!$Y$4:$AG$35,7,FALSE)</f>
        <v>227.91000000000003</v>
      </c>
      <c r="AA110" s="117">
        <f>VLOOKUP(CONCATENATE($G110,"-",$F110,"-Couple Only"),'Look-ups'!$Y$4:$AG$35,8,FALSE)</f>
        <v>252.52</v>
      </c>
      <c r="AB110" s="117">
        <f>VLOOKUP(CONCATENATE($G110,"-",$F110,"-Couple Only"),'Look-ups'!$Y$4:$AG$35,9,FALSE)</f>
        <v>316.72000000000003</v>
      </c>
      <c r="AC110" s="117">
        <v>6</v>
      </c>
      <c r="AD110" s="117" t="s">
        <v>164</v>
      </c>
      <c r="AE110" s="329">
        <f>VLOOKUP($AD110,'Look-ups'!$A$122:$G$130,5,FALSE)</f>
        <v>2.7027027027027032E-2</v>
      </c>
      <c r="AF110" s="329">
        <f>VLOOKUP($AD110,'Look-ups'!$A$122:$G$130,6,FALSE)</f>
        <v>0.10810810810810813</v>
      </c>
      <c r="AG110" s="329">
        <f>VLOOKUP($AD110,'Look-ups'!$A$122:$G$130,7,FALSE)</f>
        <v>0.8648648648648648</v>
      </c>
      <c r="AH110" s="330">
        <f>VLOOKUP($AC110,'Look-ups'!$A$50:$AO$118,'Look-ups'!$B$133*4,FALSE)*0.277778</f>
        <v>18.129584109645045</v>
      </c>
      <c r="AI110" s="330">
        <f>VLOOKUP($AC110,'Look-ups'!$A$50:$AO$118,'Look-ups'!$B$133*4+1,FALSE)*0.277778</f>
        <v>54.09269589035496</v>
      </c>
      <c r="AJ110" s="330">
        <f>AE110*$AH110/'Look-ups'!$B$141</f>
        <v>0.64050818264070131</v>
      </c>
      <c r="AK110" s="330">
        <f>AF110*$AH110/'Look-ups'!$B$140</f>
        <v>2.6848699162747205</v>
      </c>
      <c r="AL110" s="330">
        <f>AG110*$AH110/'Look-ups'!$B$137</f>
        <v>2.9865981544846401</v>
      </c>
      <c r="AM110" s="330">
        <f>AI110/'Look-ups'!$B$136</f>
        <v>11.387935976916834</v>
      </c>
      <c r="AN110" s="331">
        <f>AJ110*VLOOKUP($AD110,'Look-ups'!$A$123:$M$130,10,FALSE)</f>
        <v>0.1738268040111014</v>
      </c>
      <c r="AO110" s="331">
        <f>AK110*VLOOKUP($AD110,'Look-ups'!$A$123:$M$130,9,FALSE)</f>
        <v>1.6109219497648322</v>
      </c>
      <c r="AP110" s="331">
        <f>(AL110+AM110)*VLOOKUP($AD110,'Look-ups'!$A$123:$M$130,8,FALSE)</f>
        <v>4.5998509220484722</v>
      </c>
      <c r="AQ110" s="331">
        <f t="shared" si="2"/>
        <v>6.3845996758244059</v>
      </c>
      <c r="AR110" s="332">
        <f>AJ110*VLOOKUP($AD110,'Look-ups'!$A$123:$M$130,11,FALSE)</f>
        <v>2.7670728270469866E-3</v>
      </c>
      <c r="AS110" s="332">
        <f>AK110*VLOOKUP($AD110,'Look-ups'!$A$123:$M$130,12,FALSE)</f>
        <v>0.49807879463454063</v>
      </c>
      <c r="AT110" s="332">
        <f>(AL110+AM110)*VLOOKUP($AD110,'Look-ups'!$A$123:$M$130,13,FALSE)</f>
        <v>2.6722258950275344</v>
      </c>
      <c r="AU110" s="332">
        <f t="shared" si="3"/>
        <v>3.1730717624891218</v>
      </c>
      <c r="BE110"/>
    </row>
    <row r="111" spans="1:57" x14ac:dyDescent="0.25">
      <c r="A111">
        <v>7002</v>
      </c>
      <c r="B111" t="s">
        <v>397</v>
      </c>
      <c r="C111">
        <v>378.03910000000002</v>
      </c>
      <c r="D111">
        <v>127215</v>
      </c>
      <c r="E111">
        <v>336.51281044738494</v>
      </c>
      <c r="F111" t="s">
        <v>171</v>
      </c>
      <c r="G111" t="s">
        <v>164</v>
      </c>
      <c r="H111">
        <f>VLOOKUP(CONCATENATE($G111,"-",$F111,"-",$H$2),'Look-ups'!$O$3:$S$34,5,FALSE)*VLOOKUP(CONCATENATE($F111,"-",$H$2,"-",H$3),'Look-ups'!$I$3:$M$24,5,FALSE)</f>
        <v>294.44444444444446</v>
      </c>
      <c r="I111">
        <f>VLOOKUP(CONCATENATE($G111,"-",$F111,"-",$H$2),'Look-ups'!$O$3:$S$34,5,FALSE)*VLOOKUP(CONCATENATE($F111,"-",$H$2,"-",I$3),'Look-ups'!$I$3:$M$24,5,FALSE)</f>
        <v>424</v>
      </c>
      <c r="J111">
        <f>VLOOKUP(CONCATENATE($G111,"-",$F111,"-",$H$2),'Look-ups'!$O$3:$S$34,5,FALSE)*VLOOKUP(CONCATENATE($F111,"-",$H$2,"-",J$3),'Look-ups'!$I$3:$M$24,5,FALSE)</f>
        <v>518.22222222222229</v>
      </c>
      <c r="K111">
        <f>VLOOKUP(CONCATENATE($G111,"-",$F111,"-",$H$2),'Look-ups'!$O$3:$S$34,5,FALSE)*VLOOKUP(CONCATENATE($F111,"-",$H$2,"-",K$3),'Look-ups'!$I$3:$M$24,5,FALSE)</f>
        <v>659.55555555555554</v>
      </c>
      <c r="L111">
        <f>VLOOKUP(CONCATENATE($G111,"-",$F111,"-",$H$2),'Look-ups'!$O$3:$S$34,5,FALSE)*VLOOKUP(CONCATENATE($F111,"-",$H$2,"-",L$3),'Look-ups'!$I$3:$M$24,5,FALSE)</f>
        <v>795</v>
      </c>
      <c r="M111">
        <f>VLOOKUP(CONCATENATE($G111,"-",$F111,"-",$H$2),'Look-ups'!$O$3:$S$34,5,FALSE)*VLOOKUP(CONCATENATE($F111,"-",$H$2,"-",M$3),'Look-ups'!$I$3:$M$24,5,FALSE)</f>
        <v>883.33333333333337</v>
      </c>
      <c r="N111">
        <f>VLOOKUP(CONCATENATE($G111,"-",$F111,"-",$N$2),'Look-ups'!$O$3:$S$34,5,FALSE)*VLOOKUP(CONCATENATE($F111,"-",$N$2,"-",N$3),'Look-ups'!$I$3:$M$24,5,FALSE)</f>
        <v>278.0266666666667</v>
      </c>
      <c r="O111">
        <f>VLOOKUP(CONCATENATE($G111,"-",$F111,"-",$N$2),'Look-ups'!$O$3:$S$34,5,FALSE)*VLOOKUP(CONCATENATE($F111,"-",$N$2,"-",O$3),'Look-ups'!$I$3:$M$24,5,FALSE)</f>
        <v>374.26666666666665</v>
      </c>
      <c r="P111">
        <f>VLOOKUP(CONCATENATE($G111,"-",$F111,"-",$N$2),'Look-ups'!$O$3:$S$34,5,FALSE)*VLOOKUP(CONCATENATE($F111,"-",$N$2,"-",P$3),'Look-ups'!$I$3:$M$24,5,FALSE)</f>
        <v>401</v>
      </c>
      <c r="Q111">
        <f>VLOOKUP(CONCATENATE($G111,"-",$F111,"-",$N$2),'Look-ups'!$O$3:$S$34,5,FALSE)*VLOOKUP(CONCATENATE($F111,"-",$N$2,"-",Q$3),'Look-ups'!$I$3:$M$24,5,FALSE)</f>
        <v>523.97333333333336</v>
      </c>
      <c r="R111">
        <f>VLOOKUP(CONCATENATE($G111,"-",$F111,"-",$N$2),'Look-ups'!$O$3:$S$34,5,FALSE)*VLOOKUP(CONCATENATE($F111,"-",$N$2,"-",R$3),'Look-ups'!$I$3:$M$24,5,FALSE)</f>
        <v>588.13333333333333</v>
      </c>
      <c r="S111" s="117">
        <f>VLOOKUP(CONCATENATE($G111,"-",$F111,"-Lone Person"),'Look-ups'!$Y$4:$AG$35,5,FALSE)</f>
        <v>131.61000000000001</v>
      </c>
      <c r="T111">
        <f>VLOOKUP(CONCATENATE($G111,"-",$F111,"-Lone Person"),'Look-ups'!$Y$4:$AG$35,6,FALSE)</f>
        <v>188.32000000000002</v>
      </c>
      <c r="U111">
        <f>VLOOKUP(CONCATENATE($G111,"-",$F111,"-Lone Person"),'Look-ups'!$Y$4:$AG$35,7,FALSE)</f>
        <v>225.77</v>
      </c>
      <c r="V111">
        <f>VLOOKUP(CONCATENATE($G111,"-",$F111,"-Lone Person"),'Look-ups'!$Y$4:$AG$35,8,FALSE)</f>
        <v>276.06</v>
      </c>
      <c r="W111">
        <f>VLOOKUP(CONCATENATE($G111,"-",$F111,"-Lone Person"),'Look-ups'!$Y$4:$AG$35,9,FALSE)</f>
        <v>262.15000000000003</v>
      </c>
      <c r="X111" s="117">
        <f>VLOOKUP(CONCATENATE($G111,"-",$F111,"-Couple Only"),'Look-ups'!$Y$4:$AG$35,5,FALSE)</f>
        <v>212.93</v>
      </c>
      <c r="Y111">
        <f>VLOOKUP(CONCATENATE($G111,"-",$F111,"-Couple Only"),'Look-ups'!$Y$4:$AG$35,6,FALSE)</f>
        <v>202.23000000000002</v>
      </c>
      <c r="Z111">
        <f>VLOOKUP(CONCATENATE($G111,"-",$F111,"-Couple Only"),'Look-ups'!$Y$4:$AG$35,7,FALSE)</f>
        <v>227.91000000000003</v>
      </c>
      <c r="AA111">
        <f>VLOOKUP(CONCATENATE($G111,"-",$F111,"-Couple Only"),'Look-ups'!$Y$4:$AG$35,8,FALSE)</f>
        <v>252.52</v>
      </c>
      <c r="AB111">
        <f>VLOOKUP(CONCATENATE($G111,"-",$F111,"-Couple Only"),'Look-ups'!$Y$4:$AG$35,9,FALSE)</f>
        <v>316.72000000000003</v>
      </c>
      <c r="AC111">
        <v>1</v>
      </c>
      <c r="AD111" t="s">
        <v>164</v>
      </c>
      <c r="AE111" s="287">
        <f>VLOOKUP($AD111,'Look-ups'!$A$122:$G$130,5,FALSE)</f>
        <v>2.7027027027027032E-2</v>
      </c>
      <c r="AF111" s="287">
        <f>VLOOKUP($AD111,'Look-ups'!$A$122:$G$130,6,FALSE)</f>
        <v>0.10810810810810813</v>
      </c>
      <c r="AG111" s="287">
        <f>VLOOKUP($AD111,'Look-ups'!$A$122:$G$130,7,FALSE)</f>
        <v>0.8648648648648648</v>
      </c>
      <c r="AH111" s="291">
        <f>VLOOKUP($AC111,'Look-ups'!$A$50:$AO$118,'Look-ups'!$B$133*4,FALSE)*0.277778</f>
        <v>0</v>
      </c>
      <c r="AI111" s="291">
        <f>VLOOKUP($AC111,'Look-ups'!$A$50:$AO$118,'Look-ups'!$B$133*4+1,FALSE)*0.277778</f>
        <v>148.61123000000001</v>
      </c>
      <c r="AJ111" s="291">
        <f>AE111*$AH111/'Look-ups'!$B$141</f>
        <v>0</v>
      </c>
      <c r="AK111" s="291">
        <f>AF111*$AH111/'Look-ups'!$B$140</f>
        <v>0</v>
      </c>
      <c r="AL111" s="291">
        <f>AG111*$AH111/'Look-ups'!$B$137</f>
        <v>0</v>
      </c>
      <c r="AM111" s="291">
        <f>AI111/'Look-ups'!$B$136</f>
        <v>31.286574736842105</v>
      </c>
      <c r="AN111" s="290">
        <f>AJ111*VLOOKUP($AD111,'Look-ups'!$A$123:$M$130,10,FALSE)</f>
        <v>0</v>
      </c>
      <c r="AO111" s="290">
        <f>AK111*VLOOKUP($AD111,'Look-ups'!$A$123:$M$130,9,FALSE)</f>
        <v>0</v>
      </c>
      <c r="AP111" s="290">
        <f>(AL111+AM111)*VLOOKUP($AD111,'Look-ups'!$A$123:$M$130,8,FALSE)</f>
        <v>10.011703915789473</v>
      </c>
      <c r="AQ111" s="290">
        <f t="shared" si="2"/>
        <v>10.011703915789473</v>
      </c>
      <c r="AR111" s="292">
        <f>AJ111*VLOOKUP($AD111,'Look-ups'!$A$123:$M$130,11,FALSE)</f>
        <v>0</v>
      </c>
      <c r="AS111" s="292">
        <f>AK111*VLOOKUP($AD111,'Look-ups'!$A$123:$M$130,12,FALSE)</f>
        <v>0</v>
      </c>
      <c r="AT111" s="292">
        <f>(AL111+AM111)*VLOOKUP($AD111,'Look-ups'!$A$123:$M$130,13,FALSE)</f>
        <v>5.8161742435789474</v>
      </c>
      <c r="AU111" s="292">
        <f t="shared" si="3"/>
        <v>5.8161742435789474</v>
      </c>
    </row>
    <row r="112" spans="1:57" x14ac:dyDescent="0.25">
      <c r="A112">
        <v>8000</v>
      </c>
      <c r="B112" t="s">
        <v>398</v>
      </c>
      <c r="C112">
        <v>1879.46209999999</v>
      </c>
      <c r="D112">
        <v>1666</v>
      </c>
      <c r="E112">
        <v>0.88642383371285272</v>
      </c>
      <c r="F112" t="s">
        <v>172</v>
      </c>
      <c r="G112" t="s">
        <v>162</v>
      </c>
      <c r="H112">
        <f>VLOOKUP(CONCATENATE($G112,"-",$F112,"-",$H$2),'Look-ups'!$O$3:$S$34,5,FALSE)*VLOOKUP(CONCATENATE($F112,"-",$H$2,"-",H$3),'Look-ups'!$I$3:$M$24,5,FALSE)</f>
        <v>359.33333333333331</v>
      </c>
      <c r="I112">
        <f>VLOOKUP(CONCATENATE($G112,"-",$F112,"-",$H$2),'Look-ups'!$O$3:$S$34,5,FALSE)*VLOOKUP(CONCATENATE($F112,"-",$H$2,"-",I$3),'Look-ups'!$I$3:$M$24,5,FALSE)</f>
        <v>539</v>
      </c>
      <c r="J112">
        <f>VLOOKUP(CONCATENATE($G112,"-",$F112,"-",$H$2),'Look-ups'!$O$3:$S$34,5,FALSE)*VLOOKUP(CONCATENATE($F112,"-",$H$2,"-",J$3),'Look-ups'!$I$3:$M$24,5,FALSE)</f>
        <v>628.83333333333337</v>
      </c>
      <c r="K112">
        <f>VLOOKUP(CONCATENATE($G112,"-",$F112,"-",$H$2),'Look-ups'!$O$3:$S$34,5,FALSE)*VLOOKUP(CONCATENATE($F112,"-",$H$2,"-",K$3),'Look-ups'!$I$3:$M$24,5,FALSE)</f>
        <v>808.5</v>
      </c>
      <c r="L112">
        <f>VLOOKUP(CONCATENATE($G112,"-",$F112,"-",$H$2),'Look-ups'!$O$3:$S$34,5,FALSE)*VLOOKUP(CONCATENATE($F112,"-",$H$2,"-",L$3),'Look-ups'!$I$3:$M$24,5,FALSE)</f>
        <v>898.33333333333337</v>
      </c>
      <c r="M112">
        <f>VLOOKUP(CONCATENATE($G112,"-",$F112,"-",$H$2),'Look-ups'!$O$3:$S$34,5,FALSE)*VLOOKUP(CONCATENATE($F112,"-",$H$2,"-",M$3),'Look-ups'!$I$3:$M$24,5,FALSE)</f>
        <v>988.16666666666663</v>
      </c>
      <c r="N112">
        <f>VLOOKUP(CONCATENATE($G112,"-",$F112,"-",$N$2),'Look-ups'!$O$3:$S$34,5,FALSE)*VLOOKUP(CONCATENATE($F112,"-",$N$2,"-",N$3),'Look-ups'!$I$3:$M$24,5,FALSE)</f>
        <v>379.5</v>
      </c>
      <c r="O112">
        <f>VLOOKUP(CONCATENATE($G112,"-",$F112,"-",$N$2),'Look-ups'!$O$3:$S$34,5,FALSE)*VLOOKUP(CONCATENATE($F112,"-",$N$2,"-",O$3),'Look-ups'!$I$3:$M$24,5,FALSE)</f>
        <v>379.5</v>
      </c>
      <c r="P112">
        <f>VLOOKUP(CONCATENATE($G112,"-",$F112,"-",$N$2),'Look-ups'!$O$3:$S$34,5,FALSE)*VLOOKUP(CONCATENATE($F112,"-",$N$2,"-",P$3),'Look-ups'!$I$3:$M$24,5,FALSE)</f>
        <v>506</v>
      </c>
      <c r="Q112">
        <f>VLOOKUP(CONCATENATE($G112,"-",$F112,"-",$N$2),'Look-ups'!$O$3:$S$34,5,FALSE)*VLOOKUP(CONCATENATE($F112,"-",$N$2,"-",Q$3),'Look-ups'!$I$3:$M$24,5,FALSE)</f>
        <v>650.57142857142867</v>
      </c>
      <c r="R112">
        <f>VLOOKUP(CONCATENATE($G112,"-",$F112,"-",$N$2),'Look-ups'!$O$3:$S$34,5,FALSE)*VLOOKUP(CONCATENATE($F112,"-",$N$2,"-",R$3),'Look-ups'!$I$3:$M$24,5,FALSE)</f>
        <v>740.92857142857133</v>
      </c>
      <c r="S112" s="117">
        <f>VLOOKUP(CONCATENATE($G112,"-",$F112,"-Lone Person"),'Look-ups'!$Y$4:$AG$35,5,FALSE)</f>
        <v>92.02000000000001</v>
      </c>
      <c r="T112">
        <f>VLOOKUP(CONCATENATE($G112,"-",$F112,"-Lone Person"),'Look-ups'!$Y$4:$AG$35,6,FALSE)</f>
        <v>131.61000000000001</v>
      </c>
      <c r="U112">
        <f>VLOOKUP(CONCATENATE($G112,"-",$F112,"-Lone Person"),'Look-ups'!$Y$4:$AG$35,7,FALSE)</f>
        <v>157.29000000000002</v>
      </c>
      <c r="V112">
        <f>VLOOKUP(CONCATENATE($G112,"-",$F112,"-Lone Person"),'Look-ups'!$Y$4:$AG$35,8,FALSE)</f>
        <v>192.60000000000002</v>
      </c>
      <c r="W112">
        <f>VLOOKUP(CONCATENATE($G112,"-",$F112,"-Lone Person"),'Look-ups'!$Y$4:$AG$35,9,FALSE)</f>
        <v>182.97</v>
      </c>
      <c r="X112" s="117">
        <f>VLOOKUP(CONCATENATE($G112,"-",$F112,"-Couple Only"),'Look-ups'!$Y$4:$AG$35,5,FALSE)</f>
        <v>148.73000000000002</v>
      </c>
      <c r="Y112">
        <f>VLOOKUP(CONCATENATE($G112,"-",$F112,"-Couple Only"),'Look-ups'!$Y$4:$AG$35,6,FALSE)</f>
        <v>140.17000000000002</v>
      </c>
      <c r="Z112">
        <f>VLOOKUP(CONCATENATE($G112,"-",$F112,"-Couple Only"),'Look-ups'!$Y$4:$AG$35,7,FALSE)</f>
        <v>158.36000000000001</v>
      </c>
      <c r="AA112">
        <f>VLOOKUP(CONCATENATE($G112,"-",$F112,"-Couple Only"),'Look-ups'!$Y$4:$AG$35,8,FALSE)</f>
        <v>175.48000000000002</v>
      </c>
      <c r="AB112">
        <f>VLOOKUP(CONCATENATE($G112,"-",$F112,"-Couple Only"),'Look-ups'!$Y$4:$AG$35,9,FALSE)</f>
        <v>220.42000000000002</v>
      </c>
      <c r="AC112">
        <v>24</v>
      </c>
      <c r="AD112" t="s">
        <v>162</v>
      </c>
      <c r="AE112" s="287">
        <f>VLOOKUP($AD112,'Look-ups'!$A$122:$G$130,5,FALSE)</f>
        <v>9.1436865021770675E-2</v>
      </c>
      <c r="AF112" s="287">
        <f>VLOOKUP($AD112,'Look-ups'!$A$122:$G$130,6,FALSE)</f>
        <v>0.2815674891146589</v>
      </c>
      <c r="AG112" s="287">
        <f>VLOOKUP($AD112,'Look-ups'!$A$122:$G$130,7,FALSE)</f>
        <v>0.62699564586357037</v>
      </c>
      <c r="AH112" s="291">
        <f>VLOOKUP($AC112,'Look-ups'!$A$50:$AO$118,'Look-ups'!$B$133*4,FALSE)*0.277778</f>
        <v>103.01123319633932</v>
      </c>
      <c r="AI112" s="291">
        <f>VLOOKUP($AC112,'Look-ups'!$A$50:$AO$118,'Look-ups'!$B$133*4+1,FALSE)*0.277778</f>
        <v>16.988862803660691</v>
      </c>
      <c r="AJ112" s="291">
        <f>AE112*$AH112/'Look-ups'!$B$141</f>
        <v>12.312449967973622</v>
      </c>
      <c r="AK112" s="291">
        <f>AF112*$AH112/'Look-ups'!$B$140</f>
        <v>39.732348331092965</v>
      </c>
      <c r="AL112" s="291">
        <f>AG112*$AH112/'Look-ups'!$B$137</f>
        <v>12.302398988407928</v>
      </c>
      <c r="AM112" s="291">
        <f>AI112/'Look-ups'!$B$136</f>
        <v>3.5766026955075141</v>
      </c>
      <c r="AN112" s="290">
        <f>AJ112*VLOOKUP($AD112,'Look-ups'!$A$123:$M$130,10,FALSE)</f>
        <v>3.3414621163083962</v>
      </c>
      <c r="AO112" s="290">
        <f>AK112*VLOOKUP($AD112,'Look-ups'!$A$123:$M$130,9,FALSE)</f>
        <v>6.1791748124515777</v>
      </c>
      <c r="AP112" s="290">
        <f>(AL112+AM112)*VLOOKUP($AD112,'Look-ups'!$A$123:$M$130,8,FALSE)</f>
        <v>5.0812805388529414</v>
      </c>
      <c r="AQ112" s="290">
        <f t="shared" ref="AQ112" si="4">SUM(AN112:AP112)</f>
        <v>14.601917467612914</v>
      </c>
      <c r="AR112" s="292">
        <f>AJ112*VLOOKUP($AD112,'Look-ups'!$A$123:$M$130,11,FALSE)</f>
        <v>5.319127321729613E-2</v>
      </c>
      <c r="AS112" s="292">
        <f>AK112*VLOOKUP($AD112,'Look-ups'!$A$123:$M$130,12,FALSE)</f>
        <v>7.3708748587004376</v>
      </c>
      <c r="AT112" s="292">
        <f>(AL112+AM112)*VLOOKUP($AD112,'Look-ups'!$A$123:$M$130,13,FALSE)</f>
        <v>4.0872550334398348</v>
      </c>
      <c r="AU112" s="292">
        <f t="shared" ref="AU112" si="5">SUM(AR112:AT112)</f>
        <v>11.511321165357568</v>
      </c>
    </row>
    <row r="113" spans="1:47" x14ac:dyDescent="0.25">
      <c r="A113">
        <v>8001</v>
      </c>
      <c r="B113" t="s">
        <v>399</v>
      </c>
      <c r="C113">
        <v>517.09339999999895</v>
      </c>
      <c r="D113">
        <v>490517</v>
      </c>
      <c r="E113">
        <v>948.60425602028761</v>
      </c>
      <c r="F113" t="s">
        <v>171</v>
      </c>
      <c r="G113" t="s">
        <v>162</v>
      </c>
      <c r="H113">
        <f>VLOOKUP(CONCATENATE($G113,"-",$F113,"-",$H$2),'Look-ups'!$O$3:$S$34,5,FALSE)*VLOOKUP(CONCATENATE($F113,"-",$H$2,"-",H$3),'Look-ups'!$I$3:$M$24,5,FALSE)</f>
        <v>362.5</v>
      </c>
      <c r="I113">
        <f>VLOOKUP(CONCATENATE($G113,"-",$F113,"-",$H$2),'Look-ups'!$O$3:$S$34,5,FALSE)*VLOOKUP(CONCATENATE($F113,"-",$H$2,"-",I$3),'Look-ups'!$I$3:$M$24,5,FALSE)</f>
        <v>522</v>
      </c>
      <c r="J113">
        <f>VLOOKUP(CONCATENATE($G113,"-",$F113,"-",$H$2),'Look-ups'!$O$3:$S$34,5,FALSE)*VLOOKUP(CONCATENATE($F113,"-",$H$2,"-",J$3),'Look-ups'!$I$3:$M$24,5,FALSE)</f>
        <v>638</v>
      </c>
      <c r="K113">
        <f>VLOOKUP(CONCATENATE($G113,"-",$F113,"-",$H$2),'Look-ups'!$O$3:$S$34,5,FALSE)*VLOOKUP(CONCATENATE($F113,"-",$H$2,"-",K$3),'Look-ups'!$I$3:$M$24,5,FALSE)</f>
        <v>812</v>
      </c>
      <c r="L113">
        <f>VLOOKUP(CONCATENATE($G113,"-",$F113,"-",$H$2),'Look-ups'!$O$3:$S$34,5,FALSE)*VLOOKUP(CONCATENATE($F113,"-",$H$2,"-",L$3),'Look-ups'!$I$3:$M$24,5,FALSE)</f>
        <v>978.75</v>
      </c>
      <c r="M113">
        <f>VLOOKUP(CONCATENATE($G113,"-",$F113,"-",$H$2),'Look-ups'!$O$3:$S$34,5,FALSE)*VLOOKUP(CONCATENATE($F113,"-",$H$2,"-",M$3),'Look-ups'!$I$3:$M$24,5,FALSE)</f>
        <v>1087.5</v>
      </c>
      <c r="N113">
        <f>VLOOKUP(CONCATENATE($G113,"-",$F113,"-",$N$2),'Look-ups'!$O$3:$S$34,5,FALSE)*VLOOKUP(CONCATENATE($F113,"-",$N$2,"-",N$3),'Look-ups'!$I$3:$M$24,5,FALSE)</f>
        <v>369.54666666666668</v>
      </c>
      <c r="O113">
        <f>VLOOKUP(CONCATENATE($G113,"-",$F113,"-",$N$2),'Look-ups'!$O$3:$S$34,5,FALSE)*VLOOKUP(CONCATENATE($F113,"-",$N$2,"-",O$3),'Look-ups'!$I$3:$M$24,5,FALSE)</f>
        <v>497.4666666666667</v>
      </c>
      <c r="P113">
        <f>VLOOKUP(CONCATENATE($G113,"-",$F113,"-",$N$2),'Look-ups'!$O$3:$S$34,5,FALSE)*VLOOKUP(CONCATENATE($F113,"-",$N$2,"-",P$3),'Look-ups'!$I$3:$M$24,5,FALSE)</f>
        <v>533</v>
      </c>
      <c r="Q113">
        <f>VLOOKUP(CONCATENATE($G113,"-",$F113,"-",$N$2),'Look-ups'!$O$3:$S$34,5,FALSE)*VLOOKUP(CONCATENATE($F113,"-",$N$2,"-",Q$3),'Look-ups'!$I$3:$M$24,5,FALSE)</f>
        <v>696.45333333333338</v>
      </c>
      <c r="R113">
        <f>VLOOKUP(CONCATENATE($G113,"-",$F113,"-",$N$2),'Look-ups'!$O$3:$S$34,5,FALSE)*VLOOKUP(CONCATENATE($F113,"-",$N$2,"-",R$3),'Look-ups'!$I$3:$M$24,5,FALSE)</f>
        <v>781.73333333333323</v>
      </c>
      <c r="S113" s="117">
        <f>VLOOKUP(CONCATENATE($G113,"-",$F113,"-Lone Person"),'Look-ups'!$Y$4:$AG$35,5,FALSE)</f>
        <v>92.02000000000001</v>
      </c>
      <c r="T113">
        <f>VLOOKUP(CONCATENATE($G113,"-",$F113,"-Lone Person"),'Look-ups'!$Y$4:$AG$35,6,FALSE)</f>
        <v>131.61000000000001</v>
      </c>
      <c r="U113">
        <f>VLOOKUP(CONCATENATE($G113,"-",$F113,"-Lone Person"),'Look-ups'!$Y$4:$AG$35,7,FALSE)</f>
        <v>157.29000000000002</v>
      </c>
      <c r="V113">
        <f>VLOOKUP(CONCATENATE($G113,"-",$F113,"-Lone Person"),'Look-ups'!$Y$4:$AG$35,8,FALSE)</f>
        <v>192.60000000000002</v>
      </c>
      <c r="W113">
        <f>VLOOKUP(CONCATENATE($G113,"-",$F113,"-Lone Person"),'Look-ups'!$Y$4:$AG$35,9,FALSE)</f>
        <v>182.97</v>
      </c>
      <c r="X113" s="117">
        <f>VLOOKUP(CONCATENATE($G113,"-",$F113,"-Couple Only"),'Look-ups'!$Y$4:$AG$35,5,FALSE)</f>
        <v>148.73000000000002</v>
      </c>
      <c r="Y113">
        <f>VLOOKUP(CONCATENATE($G113,"-",$F113,"-Couple Only"),'Look-ups'!$Y$4:$AG$35,6,FALSE)</f>
        <v>140.17000000000002</v>
      </c>
      <c r="Z113">
        <f>VLOOKUP(CONCATENATE($G113,"-",$F113,"-Couple Only"),'Look-ups'!$Y$4:$AG$35,7,FALSE)</f>
        <v>158.36000000000001</v>
      </c>
      <c r="AA113">
        <f>VLOOKUP(CONCATENATE($G113,"-",$F113,"-Couple Only"),'Look-ups'!$Y$4:$AG$35,8,FALSE)</f>
        <v>175.48000000000002</v>
      </c>
      <c r="AB113">
        <f>VLOOKUP(CONCATENATE($G113,"-",$F113,"-Couple Only"),'Look-ups'!$Y$4:$AG$35,9,FALSE)</f>
        <v>220.42000000000002</v>
      </c>
      <c r="AC113">
        <v>24</v>
      </c>
      <c r="AD113" t="s">
        <v>162</v>
      </c>
      <c r="AE113" s="287">
        <f>VLOOKUP($AD113,'Look-ups'!$A$122:$G$130,5,FALSE)</f>
        <v>9.1436865021770675E-2</v>
      </c>
      <c r="AF113" s="287">
        <f>VLOOKUP($AD113,'Look-ups'!$A$122:$G$130,6,FALSE)</f>
        <v>0.2815674891146589</v>
      </c>
      <c r="AG113" s="287">
        <f>VLOOKUP($AD113,'Look-ups'!$A$122:$G$130,7,FALSE)</f>
        <v>0.62699564586357037</v>
      </c>
      <c r="AH113" s="291">
        <f>VLOOKUP($AC113,'Look-ups'!$A$50:$AO$118,'Look-ups'!$B$133*4,FALSE)*0.277778</f>
        <v>103.01123319633932</v>
      </c>
      <c r="AI113" s="291">
        <f>VLOOKUP($AC113,'Look-ups'!$A$50:$AO$118,'Look-ups'!$B$133*4+1,FALSE)*0.277778</f>
        <v>16.988862803660691</v>
      </c>
      <c r="AJ113" s="291">
        <f>AE113*$AH113/'Look-ups'!$B$141</f>
        <v>12.312449967973622</v>
      </c>
      <c r="AK113" s="291">
        <f>AF113*$AH113/'Look-ups'!$B$140</f>
        <v>39.732348331092965</v>
      </c>
      <c r="AL113" s="291">
        <f>AG113*$AH113/'Look-ups'!$B$137</f>
        <v>12.302398988407928</v>
      </c>
      <c r="AM113" s="291">
        <f>AI113/'Look-ups'!$B$136</f>
        <v>3.5766026955075141</v>
      </c>
      <c r="AN113" s="290">
        <f>AJ113*VLOOKUP($AD113,'Look-ups'!$A$123:$M$130,10,FALSE)</f>
        <v>3.3414621163083962</v>
      </c>
      <c r="AO113" s="290">
        <f>AK113*VLOOKUP($AD113,'Look-ups'!$A$123:$M$130,9,FALSE)</f>
        <v>6.1791748124515777</v>
      </c>
      <c r="AP113" s="290">
        <f>(AL113+AM113)*VLOOKUP($AD113,'Look-ups'!$A$123:$M$130,8,FALSE)</f>
        <v>5.0812805388529414</v>
      </c>
      <c r="AQ113" s="290">
        <f t="shared" si="2"/>
        <v>14.601917467612914</v>
      </c>
      <c r="AR113" s="292">
        <f>AJ113*VLOOKUP($AD113,'Look-ups'!$A$123:$M$130,11,FALSE)</f>
        <v>5.319127321729613E-2</v>
      </c>
      <c r="AS113" s="292">
        <f>AK113*VLOOKUP($AD113,'Look-ups'!$A$123:$M$130,12,FALSE)</f>
        <v>7.3708748587004376</v>
      </c>
      <c r="AT113" s="292">
        <f>(AL113+AM113)*VLOOKUP($AD113,'Look-ups'!$A$123:$M$130,13,FALSE)</f>
        <v>4.0872550334398348</v>
      </c>
      <c r="AU113" s="292">
        <f t="shared" si="3"/>
        <v>11.511321165357568</v>
      </c>
    </row>
    <row r="114" spans="1:47" x14ac:dyDescent="0.25">
      <c r="A114">
        <v>9000</v>
      </c>
      <c r="B114" t="s">
        <v>400</v>
      </c>
      <c r="C114">
        <v>255.741999999999</v>
      </c>
      <c r="D114">
        <v>4788</v>
      </c>
      <c r="E114">
        <v>18.72199325883124</v>
      </c>
      <c r="R114" s="599" t="s">
        <v>1143</v>
      </c>
      <c r="S114" s="600">
        <f>IFERROR(('Green+Social Interface'!Q18+'Green+Social Interface'!W19)/('Green+Social Interface'!O18+'Green+Social Interface'!T19),0)</f>
        <v>0</v>
      </c>
      <c r="T114" s="600">
        <f>IFERROR(('Green+Social Interface'!Q19+'Green+Social Interface'!W20)/('Green+Social Interface'!O19+'Green+Social Interface'!T20),0)</f>
        <v>0</v>
      </c>
      <c r="U114" s="600">
        <f>IFERROR(('Green+Social Interface'!Q20+'Green+Social Interface'!W21)/('Green+Social Interface'!O20+'Green+Social Interface'!T21),0)</f>
        <v>0</v>
      </c>
      <c r="V114" s="600">
        <f>IFERROR(('Green+Social Interface'!Q21+'Green+Social Interface'!W22)/('Green+Social Interface'!O21+'Green+Social Interface'!T22),0)</f>
        <v>0</v>
      </c>
      <c r="W114" s="600">
        <f>IFERROR(('Green+Social Interface'!Q22/'Green+Social Interface'!O22),0)</f>
        <v>0</v>
      </c>
      <c r="X114" s="600">
        <f>1-S114</f>
        <v>1</v>
      </c>
      <c r="Y114" s="600">
        <f>1-T114</f>
        <v>1</v>
      </c>
      <c r="Z114" s="600">
        <f t="shared" ref="Z114:AB114" si="6">1-U114</f>
        <v>1</v>
      </c>
      <c r="AA114" s="600">
        <f t="shared" si="6"/>
        <v>1</v>
      </c>
      <c r="AB114" s="600">
        <f t="shared" si="6"/>
        <v>1</v>
      </c>
      <c r="AC114">
        <v>57</v>
      </c>
      <c r="AE114" s="287"/>
      <c r="AF114" s="287"/>
      <c r="AG114" s="287"/>
      <c r="AH114" s="291"/>
      <c r="AI114" s="291"/>
      <c r="AJ114" s="291"/>
      <c r="AK114" s="291"/>
      <c r="AL114" s="291"/>
      <c r="AM114" s="291"/>
      <c r="AN114" s="290"/>
      <c r="AO114" s="290"/>
      <c r="AP114" s="290"/>
      <c r="AQ114" s="290"/>
      <c r="AR114" s="292"/>
      <c r="AS114" s="292"/>
      <c r="AT114" s="292"/>
      <c r="AU114" s="292"/>
    </row>
    <row r="115" spans="1:47" x14ac:dyDescent="0.25">
      <c r="C115">
        <v>2</v>
      </c>
      <c r="D115">
        <v>3</v>
      </c>
      <c r="E115">
        <v>4</v>
      </c>
      <c r="F115">
        <v>5</v>
      </c>
      <c r="G115">
        <v>6</v>
      </c>
      <c r="H115">
        <v>7</v>
      </c>
      <c r="I115">
        <v>8</v>
      </c>
      <c r="R115" s="599" t="s">
        <v>1144</v>
      </c>
      <c r="S115" s="600">
        <f>IFERROR(('Green+Social Interface'!W18/'Green+Social Interface'!T18),0)</f>
        <v>0</v>
      </c>
      <c r="X115" s="600">
        <f>1-S115</f>
        <v>1</v>
      </c>
      <c r="AE115" s="287"/>
      <c r="AF115" s="287"/>
      <c r="AG115" s="287"/>
      <c r="AH115" s="291"/>
      <c r="AI115" s="291"/>
      <c r="AJ115" s="291"/>
      <c r="AK115" s="291"/>
      <c r="AL115" s="291"/>
      <c r="AM115" s="291"/>
      <c r="AN115" s="290"/>
      <c r="AO115" s="290"/>
      <c r="AP115" s="290"/>
      <c r="AQ115" s="290"/>
      <c r="AR115" s="292"/>
      <c r="AS115" s="292"/>
      <c r="AT115" s="292"/>
      <c r="AU115" s="292"/>
    </row>
    <row r="116" spans="1:47" x14ac:dyDescent="0.25">
      <c r="C116" s="203" t="s">
        <v>226</v>
      </c>
      <c r="D116" s="203"/>
      <c r="E116" s="2" t="s">
        <v>968</v>
      </c>
      <c r="F116" s="2"/>
      <c r="G116" s="2"/>
      <c r="H116" s="2"/>
      <c r="I116" s="2"/>
      <c r="M116" s="203" t="s">
        <v>226</v>
      </c>
      <c r="N116" s="203"/>
      <c r="O116" s="2" t="s">
        <v>968</v>
      </c>
      <c r="P116" s="2"/>
      <c r="Q116" s="2"/>
      <c r="R116" s="2"/>
      <c r="S116" s="2"/>
    </row>
    <row r="117" spans="1:47" x14ac:dyDescent="0.25">
      <c r="B117" t="s">
        <v>964</v>
      </c>
      <c r="C117" s="203" t="s">
        <v>966</v>
      </c>
      <c r="D117" s="203" t="s">
        <v>967</v>
      </c>
      <c r="E117" s="2" t="s">
        <v>965</v>
      </c>
      <c r="F117" s="2" t="s">
        <v>274</v>
      </c>
      <c r="G117" s="2" t="s">
        <v>966</v>
      </c>
      <c r="H117" s="2" t="s">
        <v>969</v>
      </c>
      <c r="I117" s="2" t="s">
        <v>967</v>
      </c>
      <c r="M117" s="203" t="s">
        <v>966</v>
      </c>
      <c r="N117" s="203" t="s">
        <v>967</v>
      </c>
      <c r="O117" s="2" t="s">
        <v>965</v>
      </c>
      <c r="P117" s="2" t="s">
        <v>274</v>
      </c>
      <c r="Q117" s="2" t="s">
        <v>966</v>
      </c>
      <c r="R117" s="2" t="s">
        <v>969</v>
      </c>
      <c r="S117" s="2" t="s">
        <v>967</v>
      </c>
    </row>
    <row r="118" spans="1:47" x14ac:dyDescent="0.25">
      <c r="A118">
        <v>1000</v>
      </c>
      <c r="B118" t="s">
        <v>302</v>
      </c>
      <c r="C118" s="203">
        <f>VLOOKUP($J118,$L$118:$S$120,C$115,FALSE)</f>
        <v>58.74</v>
      </c>
      <c r="D118" s="203">
        <f t="shared" ref="D118:I133" si="7">VLOOKUP($J118,$L$118:$S$120,D$115,FALSE)</f>
        <v>0</v>
      </c>
      <c r="E118" s="2">
        <f t="shared" si="7"/>
        <v>56.08</v>
      </c>
      <c r="F118" s="2">
        <f t="shared" si="7"/>
        <v>32.33</v>
      </c>
      <c r="G118" s="2">
        <f t="shared" si="7"/>
        <v>0</v>
      </c>
      <c r="H118" s="2">
        <f t="shared" si="7"/>
        <v>0</v>
      </c>
      <c r="I118" s="2">
        <f t="shared" si="7"/>
        <v>14.74</v>
      </c>
      <c r="J118">
        <v>0</v>
      </c>
      <c r="K118" t="s">
        <v>1013</v>
      </c>
      <c r="L118">
        <v>0</v>
      </c>
      <c r="M118" s="203">
        <v>58.74</v>
      </c>
      <c r="N118" s="203">
        <v>0</v>
      </c>
      <c r="O118" s="2">
        <v>56.08</v>
      </c>
      <c r="P118" s="2">
        <v>32.33</v>
      </c>
      <c r="Q118" s="2">
        <v>0</v>
      </c>
      <c r="R118" s="2">
        <v>0</v>
      </c>
      <c r="S118" s="2">
        <v>14.74</v>
      </c>
    </row>
    <row r="119" spans="1:47" x14ac:dyDescent="0.25">
      <c r="A119">
        <v>1001</v>
      </c>
      <c r="B119" t="s">
        <v>303</v>
      </c>
      <c r="C119" s="203">
        <f t="shared" ref="C119:I150" si="8">VLOOKUP($J119,$L$118:$S$120,C$115,FALSE)</f>
        <v>54.5</v>
      </c>
      <c r="D119" s="203">
        <f t="shared" si="7"/>
        <v>0</v>
      </c>
      <c r="E119" s="2">
        <f t="shared" si="7"/>
        <v>51.68</v>
      </c>
      <c r="F119" s="2">
        <f t="shared" si="7"/>
        <v>23.7</v>
      </c>
      <c r="G119" s="2">
        <f t="shared" si="7"/>
        <v>14.85</v>
      </c>
      <c r="H119" s="2">
        <f t="shared" si="7"/>
        <v>0</v>
      </c>
      <c r="I119" s="2">
        <f t="shared" si="7"/>
        <v>20.55</v>
      </c>
      <c r="J119">
        <v>1</v>
      </c>
      <c r="K119" t="s">
        <v>172</v>
      </c>
      <c r="L119">
        <v>1</v>
      </c>
      <c r="M119" s="203">
        <v>54.5</v>
      </c>
      <c r="N119" s="203">
        <v>0</v>
      </c>
      <c r="O119" s="2">
        <v>51.68</v>
      </c>
      <c r="P119" s="2">
        <v>23.7</v>
      </c>
      <c r="Q119" s="2">
        <v>14.85</v>
      </c>
      <c r="R119" s="2">
        <v>0</v>
      </c>
      <c r="S119" s="2">
        <v>20.55</v>
      </c>
    </row>
    <row r="120" spans="1:47" x14ac:dyDescent="0.25">
      <c r="A120">
        <v>1002</v>
      </c>
      <c r="B120" t="s">
        <v>304</v>
      </c>
      <c r="C120" s="203">
        <f t="shared" si="8"/>
        <v>54.5</v>
      </c>
      <c r="D120" s="203">
        <f t="shared" si="7"/>
        <v>0</v>
      </c>
      <c r="E120" s="2">
        <f t="shared" si="7"/>
        <v>51.68</v>
      </c>
      <c r="F120" s="2">
        <f t="shared" si="7"/>
        <v>23.7</v>
      </c>
      <c r="G120" s="2">
        <f t="shared" si="7"/>
        <v>14.85</v>
      </c>
      <c r="H120" s="2">
        <f t="shared" si="7"/>
        <v>0</v>
      </c>
      <c r="I120" s="2">
        <f t="shared" si="7"/>
        <v>20.55</v>
      </c>
      <c r="J120">
        <v>1</v>
      </c>
      <c r="K120" t="s">
        <v>171</v>
      </c>
      <c r="L120">
        <v>2</v>
      </c>
      <c r="M120">
        <v>50.1</v>
      </c>
      <c r="N120">
        <v>38.04</v>
      </c>
      <c r="O120">
        <v>36.96</v>
      </c>
      <c r="P120">
        <v>21.15</v>
      </c>
      <c r="Q120">
        <v>13.79</v>
      </c>
      <c r="R120">
        <v>12.13</v>
      </c>
      <c r="S120" s="117">
        <v>38.94</v>
      </c>
    </row>
    <row r="121" spans="1:47" x14ac:dyDescent="0.25">
      <c r="A121">
        <v>1003</v>
      </c>
      <c r="B121" t="s">
        <v>305</v>
      </c>
      <c r="C121" s="203">
        <f t="shared" si="8"/>
        <v>54.5</v>
      </c>
      <c r="D121" s="203">
        <f t="shared" si="7"/>
        <v>0</v>
      </c>
      <c r="E121" s="2">
        <f t="shared" si="7"/>
        <v>51.68</v>
      </c>
      <c r="F121" s="2">
        <f t="shared" si="7"/>
        <v>23.7</v>
      </c>
      <c r="G121" s="2">
        <f t="shared" si="7"/>
        <v>14.85</v>
      </c>
      <c r="H121" s="2">
        <f t="shared" si="7"/>
        <v>0</v>
      </c>
      <c r="I121" s="2">
        <f t="shared" si="7"/>
        <v>20.55</v>
      </c>
      <c r="J121">
        <v>1</v>
      </c>
    </row>
    <row r="122" spans="1:47" x14ac:dyDescent="0.25">
      <c r="A122">
        <v>1004</v>
      </c>
      <c r="B122" t="s">
        <v>306</v>
      </c>
      <c r="C122" s="203">
        <f t="shared" si="8"/>
        <v>54.5</v>
      </c>
      <c r="D122" s="203">
        <f t="shared" si="7"/>
        <v>0</v>
      </c>
      <c r="E122" s="2">
        <f t="shared" si="7"/>
        <v>51.68</v>
      </c>
      <c r="F122" s="2">
        <f t="shared" si="7"/>
        <v>23.7</v>
      </c>
      <c r="G122" s="2">
        <f t="shared" si="7"/>
        <v>14.85</v>
      </c>
      <c r="H122" s="2">
        <f t="shared" si="7"/>
        <v>0</v>
      </c>
      <c r="I122" s="2">
        <f t="shared" si="7"/>
        <v>20.55</v>
      </c>
      <c r="J122">
        <v>1</v>
      </c>
    </row>
    <row r="123" spans="1:47" x14ac:dyDescent="0.25">
      <c r="A123">
        <v>1005</v>
      </c>
      <c r="B123" t="s">
        <v>307</v>
      </c>
      <c r="C123" s="203">
        <f t="shared" si="8"/>
        <v>54.5</v>
      </c>
      <c r="D123" s="203">
        <f t="shared" si="7"/>
        <v>0</v>
      </c>
      <c r="E123" s="2">
        <f t="shared" si="7"/>
        <v>51.68</v>
      </c>
      <c r="F123" s="2">
        <f t="shared" si="7"/>
        <v>23.7</v>
      </c>
      <c r="G123" s="2">
        <f t="shared" si="7"/>
        <v>14.85</v>
      </c>
      <c r="H123" s="2">
        <f t="shared" si="7"/>
        <v>0</v>
      </c>
      <c r="I123" s="2">
        <f t="shared" si="7"/>
        <v>20.55</v>
      </c>
      <c r="J123">
        <v>1</v>
      </c>
    </row>
    <row r="124" spans="1:47" x14ac:dyDescent="0.25">
      <c r="A124">
        <v>1006</v>
      </c>
      <c r="B124" t="s">
        <v>308</v>
      </c>
      <c r="C124" s="203">
        <f t="shared" si="8"/>
        <v>54.5</v>
      </c>
      <c r="D124" s="203">
        <f t="shared" si="7"/>
        <v>0</v>
      </c>
      <c r="E124" s="2">
        <f t="shared" si="7"/>
        <v>51.68</v>
      </c>
      <c r="F124" s="2">
        <f t="shared" si="7"/>
        <v>23.7</v>
      </c>
      <c r="G124" s="2">
        <f t="shared" si="7"/>
        <v>14.85</v>
      </c>
      <c r="H124" s="2">
        <f t="shared" si="7"/>
        <v>0</v>
      </c>
      <c r="I124" s="2">
        <f t="shared" si="7"/>
        <v>20.55</v>
      </c>
      <c r="J124">
        <v>1</v>
      </c>
    </row>
    <row r="125" spans="1:47" x14ac:dyDescent="0.25">
      <c r="A125">
        <v>1007</v>
      </c>
      <c r="B125" t="s">
        <v>309</v>
      </c>
      <c r="C125" s="203">
        <f t="shared" si="8"/>
        <v>54.5</v>
      </c>
      <c r="D125" s="203">
        <f t="shared" si="7"/>
        <v>0</v>
      </c>
      <c r="E125" s="2">
        <f t="shared" si="7"/>
        <v>51.68</v>
      </c>
      <c r="F125" s="2">
        <f t="shared" si="7"/>
        <v>23.7</v>
      </c>
      <c r="G125" s="2">
        <f t="shared" si="7"/>
        <v>14.85</v>
      </c>
      <c r="H125" s="2">
        <f t="shared" si="7"/>
        <v>0</v>
      </c>
      <c r="I125" s="2">
        <f t="shared" si="7"/>
        <v>20.55</v>
      </c>
      <c r="J125">
        <v>1</v>
      </c>
    </row>
    <row r="126" spans="1:47" x14ac:dyDescent="0.25">
      <c r="A126">
        <v>1008</v>
      </c>
      <c r="B126" t="s">
        <v>1005</v>
      </c>
      <c r="C126" s="203">
        <f t="shared" si="8"/>
        <v>54.5</v>
      </c>
      <c r="D126" s="203">
        <f t="shared" si="7"/>
        <v>0</v>
      </c>
      <c r="E126" s="2">
        <f t="shared" si="7"/>
        <v>51.68</v>
      </c>
      <c r="F126" s="2">
        <f t="shared" si="7"/>
        <v>23.7</v>
      </c>
      <c r="G126" s="2">
        <f t="shared" si="7"/>
        <v>14.85</v>
      </c>
      <c r="H126" s="2">
        <f t="shared" si="7"/>
        <v>0</v>
      </c>
      <c r="I126" s="2">
        <f t="shared" si="7"/>
        <v>20.55</v>
      </c>
      <c r="J126">
        <v>1</v>
      </c>
    </row>
    <row r="127" spans="1:47" x14ac:dyDescent="0.25">
      <c r="A127">
        <v>1009</v>
      </c>
      <c r="B127" t="s">
        <v>310</v>
      </c>
      <c r="C127" s="203">
        <f t="shared" si="8"/>
        <v>54.5</v>
      </c>
      <c r="D127" s="203">
        <f t="shared" si="7"/>
        <v>0</v>
      </c>
      <c r="E127" s="2">
        <f t="shared" si="7"/>
        <v>51.68</v>
      </c>
      <c r="F127" s="2">
        <f t="shared" si="7"/>
        <v>23.7</v>
      </c>
      <c r="G127" s="2">
        <f t="shared" si="7"/>
        <v>14.85</v>
      </c>
      <c r="H127" s="2">
        <f t="shared" si="7"/>
        <v>0</v>
      </c>
      <c r="I127" s="2">
        <f t="shared" si="7"/>
        <v>20.55</v>
      </c>
      <c r="J127">
        <v>1</v>
      </c>
    </row>
    <row r="128" spans="1:47" x14ac:dyDescent="0.25">
      <c r="A128">
        <v>1010</v>
      </c>
      <c r="B128" t="s">
        <v>311</v>
      </c>
      <c r="C128" s="203">
        <f t="shared" si="8"/>
        <v>54.5</v>
      </c>
      <c r="D128" s="203">
        <f t="shared" si="7"/>
        <v>0</v>
      </c>
      <c r="E128" s="2">
        <f t="shared" si="7"/>
        <v>51.68</v>
      </c>
      <c r="F128" s="2">
        <f t="shared" si="7"/>
        <v>23.7</v>
      </c>
      <c r="G128" s="2">
        <f t="shared" si="7"/>
        <v>14.85</v>
      </c>
      <c r="H128" s="2">
        <f t="shared" si="7"/>
        <v>0</v>
      </c>
      <c r="I128" s="2">
        <f t="shared" si="7"/>
        <v>20.55</v>
      </c>
      <c r="J128">
        <v>1</v>
      </c>
    </row>
    <row r="129" spans="1:10" x14ac:dyDescent="0.25">
      <c r="A129">
        <v>1011</v>
      </c>
      <c r="B129" t="s">
        <v>312</v>
      </c>
      <c r="C129" s="203">
        <f t="shared" si="8"/>
        <v>54.5</v>
      </c>
      <c r="D129" s="203">
        <f t="shared" si="7"/>
        <v>0</v>
      </c>
      <c r="E129" s="2">
        <f t="shared" si="7"/>
        <v>51.68</v>
      </c>
      <c r="F129" s="2">
        <f t="shared" si="7"/>
        <v>23.7</v>
      </c>
      <c r="G129" s="2">
        <f t="shared" si="7"/>
        <v>14.85</v>
      </c>
      <c r="H129" s="2">
        <f t="shared" si="7"/>
        <v>0</v>
      </c>
      <c r="I129" s="2">
        <f t="shared" si="7"/>
        <v>20.55</v>
      </c>
      <c r="J129">
        <v>1</v>
      </c>
    </row>
    <row r="130" spans="1:10" x14ac:dyDescent="0.25">
      <c r="A130">
        <v>1012</v>
      </c>
      <c r="B130" t="s">
        <v>313</v>
      </c>
      <c r="C130" s="203">
        <f t="shared" si="8"/>
        <v>54.5</v>
      </c>
      <c r="D130" s="203">
        <f t="shared" si="7"/>
        <v>0</v>
      </c>
      <c r="E130" s="2">
        <f t="shared" si="7"/>
        <v>51.68</v>
      </c>
      <c r="F130" s="2">
        <f t="shared" si="7"/>
        <v>23.7</v>
      </c>
      <c r="G130" s="2">
        <f t="shared" si="7"/>
        <v>14.85</v>
      </c>
      <c r="H130" s="2">
        <f t="shared" si="7"/>
        <v>0</v>
      </c>
      <c r="I130" s="2">
        <f t="shared" si="7"/>
        <v>20.55</v>
      </c>
      <c r="J130">
        <v>1</v>
      </c>
    </row>
    <row r="131" spans="1:10" x14ac:dyDescent="0.25">
      <c r="A131">
        <v>1013</v>
      </c>
      <c r="B131" t="s">
        <v>314</v>
      </c>
      <c r="C131" s="203">
        <f t="shared" si="8"/>
        <v>54.5</v>
      </c>
      <c r="D131" s="203">
        <f t="shared" si="7"/>
        <v>0</v>
      </c>
      <c r="E131" s="2">
        <f t="shared" si="7"/>
        <v>51.68</v>
      </c>
      <c r="F131" s="2">
        <f t="shared" si="7"/>
        <v>23.7</v>
      </c>
      <c r="G131" s="2">
        <f t="shared" si="7"/>
        <v>14.85</v>
      </c>
      <c r="H131" s="2">
        <f t="shared" si="7"/>
        <v>0</v>
      </c>
      <c r="I131" s="2">
        <f t="shared" si="7"/>
        <v>20.55</v>
      </c>
      <c r="J131">
        <v>1</v>
      </c>
    </row>
    <row r="132" spans="1:10" x14ac:dyDescent="0.25">
      <c r="A132">
        <v>1014</v>
      </c>
      <c r="B132" t="s">
        <v>315</v>
      </c>
      <c r="C132" s="203">
        <f t="shared" si="8"/>
        <v>54.5</v>
      </c>
      <c r="D132" s="203">
        <f t="shared" si="7"/>
        <v>0</v>
      </c>
      <c r="E132" s="2">
        <f t="shared" si="7"/>
        <v>51.68</v>
      </c>
      <c r="F132" s="2">
        <f t="shared" si="7"/>
        <v>23.7</v>
      </c>
      <c r="G132" s="2">
        <f t="shared" si="7"/>
        <v>14.85</v>
      </c>
      <c r="H132" s="2">
        <f t="shared" si="7"/>
        <v>0</v>
      </c>
      <c r="I132" s="2">
        <f t="shared" si="7"/>
        <v>20.55</v>
      </c>
      <c r="J132">
        <v>1</v>
      </c>
    </row>
    <row r="133" spans="1:10" x14ac:dyDescent="0.25">
      <c r="A133">
        <v>1015</v>
      </c>
      <c r="B133" t="s">
        <v>316</v>
      </c>
      <c r="C133" s="203">
        <f t="shared" si="8"/>
        <v>54.5</v>
      </c>
      <c r="D133" s="203">
        <f t="shared" si="7"/>
        <v>0</v>
      </c>
      <c r="E133" s="2">
        <f t="shared" si="7"/>
        <v>51.68</v>
      </c>
      <c r="F133" s="2">
        <f t="shared" si="7"/>
        <v>23.7</v>
      </c>
      <c r="G133" s="2">
        <f t="shared" si="7"/>
        <v>14.85</v>
      </c>
      <c r="H133" s="2">
        <f t="shared" si="7"/>
        <v>0</v>
      </c>
      <c r="I133" s="2">
        <f t="shared" si="7"/>
        <v>20.55</v>
      </c>
      <c r="J133">
        <v>1</v>
      </c>
    </row>
    <row r="134" spans="1:10" x14ac:dyDescent="0.25">
      <c r="A134">
        <v>1016</v>
      </c>
      <c r="B134" t="s">
        <v>317</v>
      </c>
      <c r="C134" s="203">
        <f t="shared" si="8"/>
        <v>54.5</v>
      </c>
      <c r="D134" s="203">
        <f t="shared" si="8"/>
        <v>0</v>
      </c>
      <c r="E134" s="2">
        <f t="shared" si="8"/>
        <v>51.68</v>
      </c>
      <c r="F134" s="2">
        <f t="shared" si="8"/>
        <v>23.7</v>
      </c>
      <c r="G134" s="2">
        <f t="shared" si="8"/>
        <v>14.85</v>
      </c>
      <c r="H134" s="2">
        <f t="shared" si="8"/>
        <v>0</v>
      </c>
      <c r="I134" s="2">
        <f t="shared" si="8"/>
        <v>20.55</v>
      </c>
      <c r="J134">
        <v>1</v>
      </c>
    </row>
    <row r="135" spans="1:10" x14ac:dyDescent="0.25">
      <c r="A135">
        <v>1017</v>
      </c>
      <c r="B135" t="s">
        <v>318</v>
      </c>
      <c r="C135" s="203">
        <f t="shared" si="8"/>
        <v>54.5</v>
      </c>
      <c r="D135" s="203">
        <f t="shared" si="8"/>
        <v>0</v>
      </c>
      <c r="E135" s="2">
        <f t="shared" si="8"/>
        <v>51.68</v>
      </c>
      <c r="F135" s="2">
        <f t="shared" si="8"/>
        <v>23.7</v>
      </c>
      <c r="G135" s="2">
        <f t="shared" si="8"/>
        <v>14.85</v>
      </c>
      <c r="H135" s="2">
        <f t="shared" si="8"/>
        <v>0</v>
      </c>
      <c r="I135" s="2">
        <f t="shared" si="8"/>
        <v>20.55</v>
      </c>
      <c r="J135">
        <v>1</v>
      </c>
    </row>
    <row r="136" spans="1:10" x14ac:dyDescent="0.25">
      <c r="A136">
        <v>1018</v>
      </c>
      <c r="B136" t="s">
        <v>319</v>
      </c>
      <c r="C136" s="203">
        <f t="shared" si="8"/>
        <v>54.5</v>
      </c>
      <c r="D136" s="203">
        <f t="shared" si="8"/>
        <v>0</v>
      </c>
      <c r="E136" s="2">
        <f t="shared" si="8"/>
        <v>51.68</v>
      </c>
      <c r="F136" s="2">
        <f t="shared" si="8"/>
        <v>23.7</v>
      </c>
      <c r="G136" s="2">
        <f t="shared" si="8"/>
        <v>14.85</v>
      </c>
      <c r="H136" s="2">
        <f t="shared" si="8"/>
        <v>0</v>
      </c>
      <c r="I136" s="2">
        <f t="shared" si="8"/>
        <v>20.55</v>
      </c>
      <c r="J136">
        <v>1</v>
      </c>
    </row>
    <row r="137" spans="1:10" x14ac:dyDescent="0.25">
      <c r="A137">
        <v>1019</v>
      </c>
      <c r="B137" t="s">
        <v>320</v>
      </c>
      <c r="C137" s="203">
        <f t="shared" si="8"/>
        <v>54.5</v>
      </c>
      <c r="D137" s="203">
        <f t="shared" si="8"/>
        <v>0</v>
      </c>
      <c r="E137" s="2">
        <f t="shared" si="8"/>
        <v>51.68</v>
      </c>
      <c r="F137" s="2">
        <f t="shared" si="8"/>
        <v>23.7</v>
      </c>
      <c r="G137" s="2">
        <f t="shared" si="8"/>
        <v>14.85</v>
      </c>
      <c r="H137" s="2">
        <f t="shared" si="8"/>
        <v>0</v>
      </c>
      <c r="I137" s="2">
        <f t="shared" si="8"/>
        <v>20.55</v>
      </c>
      <c r="J137">
        <v>1</v>
      </c>
    </row>
    <row r="138" spans="1:10" x14ac:dyDescent="0.25">
      <c r="A138">
        <v>1020</v>
      </c>
      <c r="B138" t="s">
        <v>1006</v>
      </c>
      <c r="C138" s="203">
        <f t="shared" si="8"/>
        <v>54.5</v>
      </c>
      <c r="D138" s="203">
        <f t="shared" si="8"/>
        <v>0</v>
      </c>
      <c r="E138" s="2">
        <f t="shared" si="8"/>
        <v>51.68</v>
      </c>
      <c r="F138" s="2">
        <f t="shared" si="8"/>
        <v>23.7</v>
      </c>
      <c r="G138" s="2">
        <f t="shared" si="8"/>
        <v>14.85</v>
      </c>
      <c r="H138" s="2">
        <f t="shared" si="8"/>
        <v>0</v>
      </c>
      <c r="I138" s="2">
        <f t="shared" si="8"/>
        <v>20.55</v>
      </c>
      <c r="J138">
        <v>1</v>
      </c>
    </row>
    <row r="139" spans="1:10" x14ac:dyDescent="0.25">
      <c r="A139">
        <v>1021</v>
      </c>
      <c r="B139" t="s">
        <v>321</v>
      </c>
      <c r="C139" s="203">
        <f t="shared" si="8"/>
        <v>54.5</v>
      </c>
      <c r="D139" s="203">
        <f t="shared" si="8"/>
        <v>0</v>
      </c>
      <c r="E139" s="2">
        <f t="shared" si="8"/>
        <v>51.68</v>
      </c>
      <c r="F139" s="2">
        <f t="shared" si="8"/>
        <v>23.7</v>
      </c>
      <c r="G139" s="2">
        <f t="shared" si="8"/>
        <v>14.85</v>
      </c>
      <c r="H139" s="2">
        <f t="shared" si="8"/>
        <v>0</v>
      </c>
      <c r="I139" s="2">
        <f t="shared" si="8"/>
        <v>20.55</v>
      </c>
      <c r="J139">
        <v>1</v>
      </c>
    </row>
    <row r="140" spans="1:10" x14ac:dyDescent="0.25">
      <c r="A140">
        <v>1022</v>
      </c>
      <c r="B140" t="s">
        <v>322</v>
      </c>
      <c r="C140" s="203">
        <f t="shared" si="8"/>
        <v>54.5</v>
      </c>
      <c r="D140" s="203">
        <f t="shared" si="8"/>
        <v>0</v>
      </c>
      <c r="E140" s="2">
        <f t="shared" si="8"/>
        <v>51.68</v>
      </c>
      <c r="F140" s="2">
        <f t="shared" si="8"/>
        <v>23.7</v>
      </c>
      <c r="G140" s="2">
        <f t="shared" si="8"/>
        <v>14.85</v>
      </c>
      <c r="H140" s="2">
        <f t="shared" si="8"/>
        <v>0</v>
      </c>
      <c r="I140" s="2">
        <f t="shared" si="8"/>
        <v>20.55</v>
      </c>
      <c r="J140">
        <v>1</v>
      </c>
    </row>
    <row r="141" spans="1:10" x14ac:dyDescent="0.25">
      <c r="A141">
        <v>1023</v>
      </c>
      <c r="B141" t="s">
        <v>323</v>
      </c>
      <c r="C141" s="203">
        <f t="shared" si="8"/>
        <v>54.5</v>
      </c>
      <c r="D141" s="203">
        <f t="shared" si="8"/>
        <v>0</v>
      </c>
      <c r="E141" s="2">
        <f t="shared" si="8"/>
        <v>51.68</v>
      </c>
      <c r="F141" s="2">
        <f t="shared" si="8"/>
        <v>23.7</v>
      </c>
      <c r="G141" s="2">
        <f t="shared" si="8"/>
        <v>14.85</v>
      </c>
      <c r="H141" s="2">
        <f t="shared" si="8"/>
        <v>0</v>
      </c>
      <c r="I141" s="2">
        <f t="shared" si="8"/>
        <v>20.55</v>
      </c>
      <c r="J141">
        <v>1</v>
      </c>
    </row>
    <row r="142" spans="1:10" x14ac:dyDescent="0.25">
      <c r="A142">
        <v>1024</v>
      </c>
      <c r="B142" t="s">
        <v>324</v>
      </c>
      <c r="C142" s="203">
        <f t="shared" si="8"/>
        <v>54.5</v>
      </c>
      <c r="D142" s="203">
        <f t="shared" si="8"/>
        <v>0</v>
      </c>
      <c r="E142" s="2">
        <f t="shared" si="8"/>
        <v>51.68</v>
      </c>
      <c r="F142" s="2">
        <f t="shared" si="8"/>
        <v>23.7</v>
      </c>
      <c r="G142" s="2">
        <f t="shared" si="8"/>
        <v>14.85</v>
      </c>
      <c r="H142" s="2">
        <f t="shared" si="8"/>
        <v>0</v>
      </c>
      <c r="I142" s="2">
        <f t="shared" si="8"/>
        <v>20.55</v>
      </c>
      <c r="J142">
        <v>1</v>
      </c>
    </row>
    <row r="143" spans="1:10" x14ac:dyDescent="0.25">
      <c r="A143">
        <v>1025</v>
      </c>
      <c r="B143" t="s">
        <v>325</v>
      </c>
      <c r="C143" s="203">
        <f t="shared" si="8"/>
        <v>54.5</v>
      </c>
      <c r="D143" s="203">
        <f t="shared" si="8"/>
        <v>0</v>
      </c>
      <c r="E143" s="2">
        <f t="shared" si="8"/>
        <v>51.68</v>
      </c>
      <c r="F143" s="2">
        <f t="shared" si="8"/>
        <v>23.7</v>
      </c>
      <c r="G143" s="2">
        <f t="shared" si="8"/>
        <v>14.85</v>
      </c>
      <c r="H143" s="2">
        <f t="shared" si="8"/>
        <v>0</v>
      </c>
      <c r="I143" s="2">
        <f t="shared" si="8"/>
        <v>20.55</v>
      </c>
      <c r="J143">
        <v>1</v>
      </c>
    </row>
    <row r="144" spans="1:10" x14ac:dyDescent="0.25">
      <c r="A144">
        <v>1026</v>
      </c>
      <c r="B144" t="s">
        <v>326</v>
      </c>
      <c r="C144" s="203">
        <f t="shared" si="8"/>
        <v>54.5</v>
      </c>
      <c r="D144" s="203">
        <f t="shared" si="8"/>
        <v>0</v>
      </c>
      <c r="E144" s="2">
        <f t="shared" si="8"/>
        <v>51.68</v>
      </c>
      <c r="F144" s="2">
        <f t="shared" si="8"/>
        <v>23.7</v>
      </c>
      <c r="G144" s="2">
        <f t="shared" si="8"/>
        <v>14.85</v>
      </c>
      <c r="H144" s="2">
        <f t="shared" si="8"/>
        <v>0</v>
      </c>
      <c r="I144" s="2">
        <f t="shared" si="8"/>
        <v>20.55</v>
      </c>
      <c r="J144">
        <v>1</v>
      </c>
    </row>
    <row r="145" spans="1:10" x14ac:dyDescent="0.25">
      <c r="A145">
        <v>1027</v>
      </c>
      <c r="B145" t="s">
        <v>327</v>
      </c>
      <c r="C145" s="203">
        <f t="shared" si="8"/>
        <v>54.5</v>
      </c>
      <c r="D145" s="203">
        <f t="shared" si="8"/>
        <v>0</v>
      </c>
      <c r="E145" s="2">
        <f t="shared" si="8"/>
        <v>51.68</v>
      </c>
      <c r="F145" s="2">
        <f t="shared" si="8"/>
        <v>23.7</v>
      </c>
      <c r="G145" s="2">
        <f t="shared" si="8"/>
        <v>14.85</v>
      </c>
      <c r="H145" s="2">
        <f t="shared" si="8"/>
        <v>0</v>
      </c>
      <c r="I145" s="2">
        <f t="shared" si="8"/>
        <v>20.55</v>
      </c>
      <c r="J145">
        <v>1</v>
      </c>
    </row>
    <row r="146" spans="1:10" x14ac:dyDescent="0.25">
      <c r="A146">
        <v>1028</v>
      </c>
      <c r="B146" t="s">
        <v>328</v>
      </c>
      <c r="C146" s="203">
        <f t="shared" si="8"/>
        <v>54.5</v>
      </c>
      <c r="D146" s="203">
        <f t="shared" si="8"/>
        <v>0</v>
      </c>
      <c r="E146" s="2">
        <f t="shared" si="8"/>
        <v>51.68</v>
      </c>
      <c r="F146" s="2">
        <f t="shared" si="8"/>
        <v>23.7</v>
      </c>
      <c r="G146" s="2">
        <f t="shared" si="8"/>
        <v>14.85</v>
      </c>
      <c r="H146" s="2">
        <f t="shared" si="8"/>
        <v>0</v>
      </c>
      <c r="I146" s="2">
        <f t="shared" si="8"/>
        <v>20.55</v>
      </c>
      <c r="J146">
        <v>1</v>
      </c>
    </row>
    <row r="147" spans="1:10" x14ac:dyDescent="0.25">
      <c r="A147">
        <v>1029</v>
      </c>
      <c r="B147" t="s">
        <v>329</v>
      </c>
      <c r="C147" s="203">
        <f t="shared" si="8"/>
        <v>54.5</v>
      </c>
      <c r="D147" s="203">
        <f t="shared" si="8"/>
        <v>0</v>
      </c>
      <c r="E147" s="2">
        <f t="shared" si="8"/>
        <v>51.68</v>
      </c>
      <c r="F147" s="2">
        <f t="shared" si="8"/>
        <v>23.7</v>
      </c>
      <c r="G147" s="2">
        <f t="shared" si="8"/>
        <v>14.85</v>
      </c>
      <c r="H147" s="2">
        <f t="shared" si="8"/>
        <v>0</v>
      </c>
      <c r="I147" s="2">
        <f t="shared" si="8"/>
        <v>20.55</v>
      </c>
      <c r="J147">
        <v>1</v>
      </c>
    </row>
    <row r="148" spans="1:10" x14ac:dyDescent="0.25">
      <c r="A148">
        <v>1030</v>
      </c>
      <c r="B148" t="s">
        <v>330</v>
      </c>
      <c r="C148" s="203">
        <f t="shared" si="8"/>
        <v>54.5</v>
      </c>
      <c r="D148" s="203">
        <f t="shared" si="8"/>
        <v>0</v>
      </c>
      <c r="E148" s="2">
        <f t="shared" si="8"/>
        <v>51.68</v>
      </c>
      <c r="F148" s="2">
        <f t="shared" si="8"/>
        <v>23.7</v>
      </c>
      <c r="G148" s="2">
        <f t="shared" si="8"/>
        <v>14.85</v>
      </c>
      <c r="H148" s="2">
        <f t="shared" si="8"/>
        <v>0</v>
      </c>
      <c r="I148" s="2">
        <f t="shared" si="8"/>
        <v>20.55</v>
      </c>
      <c r="J148">
        <v>1</v>
      </c>
    </row>
    <row r="149" spans="1:10" x14ac:dyDescent="0.25">
      <c r="A149">
        <v>1031</v>
      </c>
      <c r="B149" t="s">
        <v>331</v>
      </c>
      <c r="C149" s="203">
        <f t="shared" si="8"/>
        <v>50.1</v>
      </c>
      <c r="D149" s="203">
        <f t="shared" si="8"/>
        <v>38.04</v>
      </c>
      <c r="E149" s="2">
        <f t="shared" si="8"/>
        <v>36.96</v>
      </c>
      <c r="F149" s="2">
        <f t="shared" si="8"/>
        <v>21.15</v>
      </c>
      <c r="G149" s="2">
        <f t="shared" si="8"/>
        <v>13.79</v>
      </c>
      <c r="H149" s="2">
        <f t="shared" si="8"/>
        <v>12.13</v>
      </c>
      <c r="I149" s="2">
        <f t="shared" si="8"/>
        <v>38.94</v>
      </c>
      <c r="J149">
        <v>2</v>
      </c>
    </row>
    <row r="150" spans="1:10" x14ac:dyDescent="0.25">
      <c r="A150">
        <v>1032</v>
      </c>
      <c r="B150" t="s">
        <v>332</v>
      </c>
      <c r="C150" s="203">
        <f t="shared" si="8"/>
        <v>54.5</v>
      </c>
      <c r="D150" s="203">
        <f t="shared" si="8"/>
        <v>0</v>
      </c>
      <c r="E150" s="2">
        <f t="shared" si="8"/>
        <v>51.68</v>
      </c>
      <c r="F150" s="2">
        <f t="shared" si="8"/>
        <v>23.7</v>
      </c>
      <c r="G150" s="2">
        <f t="shared" si="8"/>
        <v>14.85</v>
      </c>
      <c r="H150" s="2">
        <f t="shared" si="8"/>
        <v>0</v>
      </c>
      <c r="I150" s="2">
        <f t="shared" si="8"/>
        <v>20.55</v>
      </c>
      <c r="J150">
        <v>1</v>
      </c>
    </row>
    <row r="151" spans="1:10" x14ac:dyDescent="0.25">
      <c r="A151">
        <v>1033</v>
      </c>
      <c r="B151" t="s">
        <v>333</v>
      </c>
      <c r="C151" s="203">
        <f t="shared" ref="C151:I182" si="9">VLOOKUP($J151,$L$118:$S$120,C$115,FALSE)</f>
        <v>54.5</v>
      </c>
      <c r="D151" s="203">
        <f t="shared" si="9"/>
        <v>0</v>
      </c>
      <c r="E151" s="2">
        <f t="shared" si="9"/>
        <v>51.68</v>
      </c>
      <c r="F151" s="2">
        <f t="shared" si="9"/>
        <v>23.7</v>
      </c>
      <c r="G151" s="2">
        <f t="shared" si="9"/>
        <v>14.85</v>
      </c>
      <c r="H151" s="2">
        <f t="shared" si="9"/>
        <v>0</v>
      </c>
      <c r="I151" s="2">
        <f t="shared" si="9"/>
        <v>20.55</v>
      </c>
      <c r="J151">
        <v>1</v>
      </c>
    </row>
    <row r="152" spans="1:10" x14ac:dyDescent="0.25">
      <c r="A152">
        <v>1034</v>
      </c>
      <c r="B152" t="s">
        <v>334</v>
      </c>
      <c r="C152" s="203">
        <f t="shared" si="9"/>
        <v>54.5</v>
      </c>
      <c r="D152" s="203">
        <f t="shared" si="9"/>
        <v>0</v>
      </c>
      <c r="E152" s="2">
        <f t="shared" si="9"/>
        <v>51.68</v>
      </c>
      <c r="F152" s="2">
        <f t="shared" si="9"/>
        <v>23.7</v>
      </c>
      <c r="G152" s="2">
        <f t="shared" si="9"/>
        <v>14.85</v>
      </c>
      <c r="H152" s="2">
        <f t="shared" si="9"/>
        <v>0</v>
      </c>
      <c r="I152" s="2">
        <f t="shared" si="9"/>
        <v>20.55</v>
      </c>
      <c r="J152">
        <v>1</v>
      </c>
    </row>
    <row r="153" spans="1:10" x14ac:dyDescent="0.25">
      <c r="A153">
        <v>1035</v>
      </c>
      <c r="B153" t="s">
        <v>335</v>
      </c>
      <c r="C153" s="203">
        <f t="shared" si="9"/>
        <v>54.5</v>
      </c>
      <c r="D153" s="203">
        <f t="shared" si="9"/>
        <v>0</v>
      </c>
      <c r="E153" s="2">
        <f t="shared" si="9"/>
        <v>51.68</v>
      </c>
      <c r="F153" s="2">
        <f t="shared" si="9"/>
        <v>23.7</v>
      </c>
      <c r="G153" s="2">
        <f t="shared" si="9"/>
        <v>14.85</v>
      </c>
      <c r="H153" s="2">
        <f t="shared" si="9"/>
        <v>0</v>
      </c>
      <c r="I153" s="2">
        <f t="shared" si="9"/>
        <v>20.55</v>
      </c>
      <c r="J153">
        <v>1</v>
      </c>
    </row>
    <row r="154" spans="1:10" x14ac:dyDescent="0.25">
      <c r="A154">
        <v>1036</v>
      </c>
      <c r="B154" t="s">
        <v>184</v>
      </c>
      <c r="C154" s="203">
        <f t="shared" si="9"/>
        <v>54.5</v>
      </c>
      <c r="D154" s="203">
        <f t="shared" si="9"/>
        <v>0</v>
      </c>
      <c r="E154" s="2">
        <f t="shared" si="9"/>
        <v>51.68</v>
      </c>
      <c r="F154" s="2">
        <f t="shared" si="9"/>
        <v>23.7</v>
      </c>
      <c r="G154" s="2">
        <f t="shared" si="9"/>
        <v>14.85</v>
      </c>
      <c r="H154" s="2">
        <f t="shared" si="9"/>
        <v>0</v>
      </c>
      <c r="I154" s="2">
        <f t="shared" si="9"/>
        <v>20.55</v>
      </c>
      <c r="J154">
        <v>1</v>
      </c>
    </row>
    <row r="155" spans="1:10" x14ac:dyDescent="0.25">
      <c r="A155">
        <v>2000</v>
      </c>
      <c r="B155" t="s">
        <v>336</v>
      </c>
      <c r="C155" s="203">
        <f t="shared" si="9"/>
        <v>58.74</v>
      </c>
      <c r="D155" s="203">
        <f t="shared" si="9"/>
        <v>0</v>
      </c>
      <c r="E155" s="2">
        <f t="shared" si="9"/>
        <v>56.08</v>
      </c>
      <c r="F155" s="2">
        <f t="shared" si="9"/>
        <v>32.33</v>
      </c>
      <c r="G155" s="2">
        <f t="shared" si="9"/>
        <v>0</v>
      </c>
      <c r="H155" s="2">
        <f t="shared" si="9"/>
        <v>0</v>
      </c>
      <c r="I155" s="2">
        <f t="shared" si="9"/>
        <v>14.74</v>
      </c>
      <c r="J155">
        <v>0</v>
      </c>
    </row>
    <row r="156" spans="1:10" x14ac:dyDescent="0.25">
      <c r="A156">
        <v>2001</v>
      </c>
      <c r="B156" t="s">
        <v>337</v>
      </c>
      <c r="C156" s="203">
        <f t="shared" si="9"/>
        <v>54.5</v>
      </c>
      <c r="D156" s="203">
        <f t="shared" si="9"/>
        <v>0</v>
      </c>
      <c r="E156" s="2">
        <f t="shared" si="9"/>
        <v>51.68</v>
      </c>
      <c r="F156" s="2">
        <f t="shared" si="9"/>
        <v>23.7</v>
      </c>
      <c r="G156" s="2">
        <f t="shared" si="9"/>
        <v>14.85</v>
      </c>
      <c r="H156" s="2">
        <f t="shared" si="9"/>
        <v>0</v>
      </c>
      <c r="I156" s="2">
        <f t="shared" si="9"/>
        <v>20.55</v>
      </c>
      <c r="J156">
        <v>1</v>
      </c>
    </row>
    <row r="157" spans="1:10" x14ac:dyDescent="0.25">
      <c r="A157">
        <v>2002</v>
      </c>
      <c r="B157" t="s">
        <v>338</v>
      </c>
      <c r="C157" s="203">
        <f t="shared" si="9"/>
        <v>54.5</v>
      </c>
      <c r="D157" s="203">
        <f t="shared" si="9"/>
        <v>0</v>
      </c>
      <c r="E157" s="2">
        <f t="shared" si="9"/>
        <v>51.68</v>
      </c>
      <c r="F157" s="2">
        <f t="shared" si="9"/>
        <v>23.7</v>
      </c>
      <c r="G157" s="2">
        <f t="shared" si="9"/>
        <v>14.85</v>
      </c>
      <c r="H157" s="2">
        <f t="shared" si="9"/>
        <v>0</v>
      </c>
      <c r="I157" s="2">
        <f t="shared" si="9"/>
        <v>20.55</v>
      </c>
      <c r="J157">
        <v>1</v>
      </c>
    </row>
    <row r="158" spans="1:10" x14ac:dyDescent="0.25">
      <c r="A158">
        <v>2003</v>
      </c>
      <c r="B158" t="s">
        <v>196</v>
      </c>
      <c r="C158" s="203">
        <f t="shared" si="9"/>
        <v>54.5</v>
      </c>
      <c r="D158" s="203">
        <f t="shared" si="9"/>
        <v>0</v>
      </c>
      <c r="E158" s="2">
        <f t="shared" si="9"/>
        <v>51.68</v>
      </c>
      <c r="F158" s="2">
        <f t="shared" si="9"/>
        <v>23.7</v>
      </c>
      <c r="G158" s="2">
        <f t="shared" si="9"/>
        <v>14.85</v>
      </c>
      <c r="H158" s="2">
        <f t="shared" si="9"/>
        <v>0</v>
      </c>
      <c r="I158" s="2">
        <f t="shared" si="9"/>
        <v>20.55</v>
      </c>
      <c r="J158">
        <v>1</v>
      </c>
    </row>
    <row r="159" spans="1:10" x14ac:dyDescent="0.25">
      <c r="A159">
        <v>2004</v>
      </c>
      <c r="B159" t="s">
        <v>339</v>
      </c>
      <c r="C159" s="203">
        <f t="shared" si="9"/>
        <v>54.5</v>
      </c>
      <c r="D159" s="203">
        <f t="shared" si="9"/>
        <v>0</v>
      </c>
      <c r="E159" s="2">
        <f t="shared" si="9"/>
        <v>51.68</v>
      </c>
      <c r="F159" s="2">
        <f t="shared" si="9"/>
        <v>23.7</v>
      </c>
      <c r="G159" s="2">
        <f t="shared" si="9"/>
        <v>14.85</v>
      </c>
      <c r="H159" s="2">
        <f t="shared" si="9"/>
        <v>0</v>
      </c>
      <c r="I159" s="2">
        <f t="shared" si="9"/>
        <v>20.55</v>
      </c>
      <c r="J159">
        <v>1</v>
      </c>
    </row>
    <row r="160" spans="1:10" x14ac:dyDescent="0.25">
      <c r="A160">
        <v>2005</v>
      </c>
      <c r="B160" t="s">
        <v>1007</v>
      </c>
      <c r="C160" s="203">
        <f t="shared" si="9"/>
        <v>54.5</v>
      </c>
      <c r="D160" s="203">
        <f t="shared" si="9"/>
        <v>0</v>
      </c>
      <c r="E160" s="2">
        <f t="shared" si="9"/>
        <v>51.68</v>
      </c>
      <c r="F160" s="2">
        <f t="shared" si="9"/>
        <v>23.7</v>
      </c>
      <c r="G160" s="2">
        <f t="shared" si="9"/>
        <v>14.85</v>
      </c>
      <c r="H160" s="2">
        <f t="shared" si="9"/>
        <v>0</v>
      </c>
      <c r="I160" s="2">
        <f t="shared" si="9"/>
        <v>20.55</v>
      </c>
      <c r="J160">
        <v>1</v>
      </c>
    </row>
    <row r="161" spans="1:10" x14ac:dyDescent="0.25">
      <c r="A161">
        <v>2006</v>
      </c>
      <c r="B161" t="s">
        <v>340</v>
      </c>
      <c r="C161" s="203">
        <f t="shared" si="9"/>
        <v>54.5</v>
      </c>
      <c r="D161" s="203">
        <f t="shared" si="9"/>
        <v>0</v>
      </c>
      <c r="E161" s="2">
        <f t="shared" si="9"/>
        <v>51.68</v>
      </c>
      <c r="F161" s="2">
        <f t="shared" si="9"/>
        <v>23.7</v>
      </c>
      <c r="G161" s="2">
        <f t="shared" si="9"/>
        <v>14.85</v>
      </c>
      <c r="H161" s="2">
        <f t="shared" si="9"/>
        <v>0</v>
      </c>
      <c r="I161" s="2">
        <f t="shared" si="9"/>
        <v>20.55</v>
      </c>
      <c r="J161">
        <v>1</v>
      </c>
    </row>
    <row r="162" spans="1:10" x14ac:dyDescent="0.25">
      <c r="A162">
        <v>2007</v>
      </c>
      <c r="B162" t="s">
        <v>341</v>
      </c>
      <c r="C162" s="203">
        <f t="shared" si="9"/>
        <v>54.5</v>
      </c>
      <c r="D162" s="203">
        <f t="shared" si="9"/>
        <v>0</v>
      </c>
      <c r="E162" s="2">
        <f t="shared" si="9"/>
        <v>51.68</v>
      </c>
      <c r="F162" s="2">
        <f t="shared" si="9"/>
        <v>23.7</v>
      </c>
      <c r="G162" s="2">
        <f t="shared" si="9"/>
        <v>14.85</v>
      </c>
      <c r="H162" s="2">
        <f t="shared" si="9"/>
        <v>0</v>
      </c>
      <c r="I162" s="2">
        <f t="shared" si="9"/>
        <v>20.55</v>
      </c>
      <c r="J162">
        <v>1</v>
      </c>
    </row>
    <row r="163" spans="1:10" x14ac:dyDescent="0.25">
      <c r="A163">
        <v>2008</v>
      </c>
      <c r="B163" t="s">
        <v>342</v>
      </c>
      <c r="C163" s="203">
        <f t="shared" si="9"/>
        <v>54.5</v>
      </c>
      <c r="D163" s="203">
        <f t="shared" si="9"/>
        <v>0</v>
      </c>
      <c r="E163" s="2">
        <f t="shared" si="9"/>
        <v>51.68</v>
      </c>
      <c r="F163" s="2">
        <f t="shared" si="9"/>
        <v>23.7</v>
      </c>
      <c r="G163" s="2">
        <f t="shared" si="9"/>
        <v>14.85</v>
      </c>
      <c r="H163" s="2">
        <f t="shared" si="9"/>
        <v>0</v>
      </c>
      <c r="I163" s="2">
        <f t="shared" si="9"/>
        <v>20.55</v>
      </c>
      <c r="J163">
        <v>1</v>
      </c>
    </row>
    <row r="164" spans="1:10" x14ac:dyDescent="0.25">
      <c r="A164">
        <v>2009</v>
      </c>
      <c r="B164" t="s">
        <v>1008</v>
      </c>
      <c r="C164" s="203">
        <f t="shared" si="9"/>
        <v>54.5</v>
      </c>
      <c r="D164" s="203">
        <f t="shared" si="9"/>
        <v>0</v>
      </c>
      <c r="E164" s="2">
        <f t="shared" si="9"/>
        <v>51.68</v>
      </c>
      <c r="F164" s="2">
        <f t="shared" si="9"/>
        <v>23.7</v>
      </c>
      <c r="G164" s="2">
        <f t="shared" si="9"/>
        <v>14.85</v>
      </c>
      <c r="H164" s="2">
        <f t="shared" si="9"/>
        <v>0</v>
      </c>
      <c r="I164" s="2">
        <f t="shared" si="9"/>
        <v>20.55</v>
      </c>
      <c r="J164">
        <v>1</v>
      </c>
    </row>
    <row r="165" spans="1:10" x14ac:dyDescent="0.25">
      <c r="A165">
        <v>2010</v>
      </c>
      <c r="B165" t="s">
        <v>343</v>
      </c>
      <c r="C165" s="203">
        <f t="shared" si="9"/>
        <v>54.5</v>
      </c>
      <c r="D165" s="203">
        <f t="shared" si="9"/>
        <v>0</v>
      </c>
      <c r="E165" s="2">
        <f t="shared" si="9"/>
        <v>51.68</v>
      </c>
      <c r="F165" s="2">
        <f t="shared" si="9"/>
        <v>23.7</v>
      </c>
      <c r="G165" s="2">
        <f t="shared" si="9"/>
        <v>14.85</v>
      </c>
      <c r="H165" s="2">
        <f t="shared" si="9"/>
        <v>0</v>
      </c>
      <c r="I165" s="2">
        <f t="shared" si="9"/>
        <v>20.55</v>
      </c>
      <c r="J165">
        <v>1</v>
      </c>
    </row>
    <row r="166" spans="1:10" x14ac:dyDescent="0.25">
      <c r="A166">
        <v>2011</v>
      </c>
      <c r="B166" t="s">
        <v>344</v>
      </c>
      <c r="C166" s="203">
        <f t="shared" si="9"/>
        <v>50.1</v>
      </c>
      <c r="D166" s="203">
        <f t="shared" si="9"/>
        <v>38.04</v>
      </c>
      <c r="E166" s="2">
        <f t="shared" si="9"/>
        <v>36.96</v>
      </c>
      <c r="F166" s="2">
        <f t="shared" si="9"/>
        <v>21.15</v>
      </c>
      <c r="G166" s="2">
        <f t="shared" si="9"/>
        <v>13.79</v>
      </c>
      <c r="H166" s="2">
        <f t="shared" si="9"/>
        <v>12.13</v>
      </c>
      <c r="I166" s="2">
        <f t="shared" si="9"/>
        <v>38.94</v>
      </c>
      <c r="J166">
        <v>2</v>
      </c>
    </row>
    <row r="167" spans="1:10" x14ac:dyDescent="0.25">
      <c r="A167">
        <v>2012</v>
      </c>
      <c r="B167" t="s">
        <v>1009</v>
      </c>
      <c r="C167" s="203">
        <f t="shared" si="9"/>
        <v>54.5</v>
      </c>
      <c r="D167" s="203">
        <f t="shared" si="9"/>
        <v>0</v>
      </c>
      <c r="E167" s="2">
        <f t="shared" si="9"/>
        <v>51.68</v>
      </c>
      <c r="F167" s="2">
        <f t="shared" si="9"/>
        <v>23.7</v>
      </c>
      <c r="G167" s="2">
        <f t="shared" si="9"/>
        <v>14.85</v>
      </c>
      <c r="H167" s="2">
        <f t="shared" si="9"/>
        <v>0</v>
      </c>
      <c r="I167" s="2">
        <f t="shared" si="9"/>
        <v>20.55</v>
      </c>
      <c r="J167">
        <v>1</v>
      </c>
    </row>
    <row r="168" spans="1:10" x14ac:dyDescent="0.25">
      <c r="A168">
        <v>2013</v>
      </c>
      <c r="B168" t="s">
        <v>345</v>
      </c>
      <c r="C168" s="203">
        <f t="shared" si="9"/>
        <v>54.5</v>
      </c>
      <c r="D168" s="203">
        <f t="shared" si="9"/>
        <v>0</v>
      </c>
      <c r="E168" s="2">
        <f t="shared" si="9"/>
        <v>51.68</v>
      </c>
      <c r="F168" s="2">
        <f t="shared" si="9"/>
        <v>23.7</v>
      </c>
      <c r="G168" s="2">
        <f t="shared" si="9"/>
        <v>14.85</v>
      </c>
      <c r="H168" s="2">
        <f t="shared" si="9"/>
        <v>0</v>
      </c>
      <c r="I168" s="2">
        <f t="shared" si="9"/>
        <v>20.55</v>
      </c>
      <c r="J168">
        <v>1</v>
      </c>
    </row>
    <row r="169" spans="1:10" x14ac:dyDescent="0.25">
      <c r="A169">
        <v>2014</v>
      </c>
      <c r="B169" t="s">
        <v>346</v>
      </c>
      <c r="C169" s="203">
        <f t="shared" si="9"/>
        <v>54.5</v>
      </c>
      <c r="D169" s="203">
        <f t="shared" si="9"/>
        <v>0</v>
      </c>
      <c r="E169" s="2">
        <f t="shared" si="9"/>
        <v>51.68</v>
      </c>
      <c r="F169" s="2">
        <f t="shared" si="9"/>
        <v>23.7</v>
      </c>
      <c r="G169" s="2">
        <f t="shared" si="9"/>
        <v>14.85</v>
      </c>
      <c r="H169" s="2">
        <f t="shared" si="9"/>
        <v>0</v>
      </c>
      <c r="I169" s="2">
        <f t="shared" si="9"/>
        <v>20.55</v>
      </c>
      <c r="J169">
        <v>1</v>
      </c>
    </row>
    <row r="170" spans="1:10" x14ac:dyDescent="0.25">
      <c r="A170">
        <v>2015</v>
      </c>
      <c r="B170" t="s">
        <v>347</v>
      </c>
      <c r="C170" s="203">
        <f t="shared" si="9"/>
        <v>54.5</v>
      </c>
      <c r="D170" s="203">
        <f t="shared" si="9"/>
        <v>0</v>
      </c>
      <c r="E170" s="2">
        <f t="shared" si="9"/>
        <v>51.68</v>
      </c>
      <c r="F170" s="2">
        <f t="shared" si="9"/>
        <v>23.7</v>
      </c>
      <c r="G170" s="2">
        <f t="shared" si="9"/>
        <v>14.85</v>
      </c>
      <c r="H170" s="2">
        <f t="shared" si="9"/>
        <v>0</v>
      </c>
      <c r="I170" s="2">
        <f t="shared" si="9"/>
        <v>20.55</v>
      </c>
      <c r="J170">
        <v>1</v>
      </c>
    </row>
    <row r="171" spans="1:10" x14ac:dyDescent="0.25">
      <c r="A171">
        <v>2016</v>
      </c>
      <c r="B171" t="s">
        <v>348</v>
      </c>
      <c r="C171" s="203">
        <f t="shared" si="9"/>
        <v>54.5</v>
      </c>
      <c r="D171" s="203">
        <f t="shared" si="9"/>
        <v>0</v>
      </c>
      <c r="E171" s="2">
        <f t="shared" si="9"/>
        <v>51.68</v>
      </c>
      <c r="F171" s="2">
        <f t="shared" si="9"/>
        <v>23.7</v>
      </c>
      <c r="G171" s="2">
        <f t="shared" si="9"/>
        <v>14.85</v>
      </c>
      <c r="H171" s="2">
        <f t="shared" si="9"/>
        <v>0</v>
      </c>
      <c r="I171" s="2">
        <f t="shared" si="9"/>
        <v>20.55</v>
      </c>
      <c r="J171">
        <v>1</v>
      </c>
    </row>
    <row r="172" spans="1:10" x14ac:dyDescent="0.25">
      <c r="A172">
        <v>2017</v>
      </c>
      <c r="B172" t="s">
        <v>349</v>
      </c>
      <c r="C172" s="203">
        <f t="shared" si="9"/>
        <v>54.5</v>
      </c>
      <c r="D172" s="203">
        <f t="shared" si="9"/>
        <v>0</v>
      </c>
      <c r="E172" s="2">
        <f t="shared" si="9"/>
        <v>51.68</v>
      </c>
      <c r="F172" s="2">
        <f t="shared" si="9"/>
        <v>23.7</v>
      </c>
      <c r="G172" s="2">
        <f t="shared" si="9"/>
        <v>14.85</v>
      </c>
      <c r="H172" s="2">
        <f t="shared" si="9"/>
        <v>0</v>
      </c>
      <c r="I172" s="2">
        <f t="shared" si="9"/>
        <v>20.55</v>
      </c>
      <c r="J172">
        <v>1</v>
      </c>
    </row>
    <row r="173" spans="1:10" x14ac:dyDescent="0.25">
      <c r="A173">
        <v>2018</v>
      </c>
      <c r="B173" t="s">
        <v>350</v>
      </c>
      <c r="C173" s="203">
        <f t="shared" si="9"/>
        <v>54.5</v>
      </c>
      <c r="D173" s="203">
        <f t="shared" si="9"/>
        <v>0</v>
      </c>
      <c r="E173" s="2">
        <f t="shared" si="9"/>
        <v>51.68</v>
      </c>
      <c r="F173" s="2">
        <f t="shared" si="9"/>
        <v>23.7</v>
      </c>
      <c r="G173" s="2">
        <f t="shared" si="9"/>
        <v>14.85</v>
      </c>
      <c r="H173" s="2">
        <f t="shared" si="9"/>
        <v>0</v>
      </c>
      <c r="I173" s="2">
        <f t="shared" si="9"/>
        <v>20.55</v>
      </c>
      <c r="J173">
        <v>1</v>
      </c>
    </row>
    <row r="174" spans="1:10" x14ac:dyDescent="0.25">
      <c r="A174">
        <v>2019</v>
      </c>
      <c r="B174" t="s">
        <v>351</v>
      </c>
      <c r="C174" s="203">
        <f t="shared" si="9"/>
        <v>54.5</v>
      </c>
      <c r="D174" s="203">
        <f t="shared" si="9"/>
        <v>0</v>
      </c>
      <c r="E174" s="2">
        <f t="shared" si="9"/>
        <v>51.68</v>
      </c>
      <c r="F174" s="2">
        <f t="shared" si="9"/>
        <v>23.7</v>
      </c>
      <c r="G174" s="2">
        <f t="shared" si="9"/>
        <v>14.85</v>
      </c>
      <c r="H174" s="2">
        <f t="shared" si="9"/>
        <v>0</v>
      </c>
      <c r="I174" s="2">
        <f t="shared" si="9"/>
        <v>20.55</v>
      </c>
      <c r="J174">
        <v>1</v>
      </c>
    </row>
    <row r="175" spans="1:10" x14ac:dyDescent="0.25">
      <c r="A175">
        <v>2020</v>
      </c>
      <c r="B175" t="s">
        <v>352</v>
      </c>
      <c r="C175" s="203">
        <f t="shared" si="9"/>
        <v>54.5</v>
      </c>
      <c r="D175" s="203">
        <f t="shared" si="9"/>
        <v>0</v>
      </c>
      <c r="E175" s="2">
        <f t="shared" si="9"/>
        <v>51.68</v>
      </c>
      <c r="F175" s="2">
        <f t="shared" si="9"/>
        <v>23.7</v>
      </c>
      <c r="G175" s="2">
        <f t="shared" si="9"/>
        <v>14.85</v>
      </c>
      <c r="H175" s="2">
        <f t="shared" si="9"/>
        <v>0</v>
      </c>
      <c r="I175" s="2">
        <f t="shared" si="9"/>
        <v>20.55</v>
      </c>
      <c r="J175">
        <v>1</v>
      </c>
    </row>
    <row r="176" spans="1:10" x14ac:dyDescent="0.25">
      <c r="A176">
        <v>2021</v>
      </c>
      <c r="B176" t="s">
        <v>353</v>
      </c>
      <c r="C176" s="203">
        <f t="shared" si="9"/>
        <v>54.5</v>
      </c>
      <c r="D176" s="203">
        <f t="shared" si="9"/>
        <v>0</v>
      </c>
      <c r="E176" s="2">
        <f t="shared" si="9"/>
        <v>51.68</v>
      </c>
      <c r="F176" s="2">
        <f t="shared" si="9"/>
        <v>23.7</v>
      </c>
      <c r="G176" s="2">
        <f t="shared" si="9"/>
        <v>14.85</v>
      </c>
      <c r="H176" s="2">
        <f t="shared" si="9"/>
        <v>0</v>
      </c>
      <c r="I176" s="2">
        <f t="shared" si="9"/>
        <v>20.55</v>
      </c>
      <c r="J176">
        <v>1</v>
      </c>
    </row>
    <row r="177" spans="1:10" x14ac:dyDescent="0.25">
      <c r="A177">
        <v>3000</v>
      </c>
      <c r="B177" t="s">
        <v>354</v>
      </c>
      <c r="C177" s="203">
        <f t="shared" si="9"/>
        <v>58.74</v>
      </c>
      <c r="D177" s="203">
        <f t="shared" si="9"/>
        <v>0</v>
      </c>
      <c r="E177" s="2">
        <f t="shared" si="9"/>
        <v>56.08</v>
      </c>
      <c r="F177" s="2">
        <f t="shared" si="9"/>
        <v>32.33</v>
      </c>
      <c r="G177" s="2">
        <f t="shared" si="9"/>
        <v>0</v>
      </c>
      <c r="H177" s="2">
        <f t="shared" si="9"/>
        <v>0</v>
      </c>
      <c r="I177" s="2">
        <f t="shared" si="9"/>
        <v>14.74</v>
      </c>
      <c r="J177">
        <v>0</v>
      </c>
    </row>
    <row r="178" spans="1:10" x14ac:dyDescent="0.25">
      <c r="A178">
        <v>3001</v>
      </c>
      <c r="B178" t="s">
        <v>1010</v>
      </c>
      <c r="C178" s="203">
        <f t="shared" si="9"/>
        <v>54.5</v>
      </c>
      <c r="D178" s="203">
        <f t="shared" si="9"/>
        <v>0</v>
      </c>
      <c r="E178" s="2">
        <f t="shared" si="9"/>
        <v>51.68</v>
      </c>
      <c r="F178" s="2">
        <f t="shared" si="9"/>
        <v>23.7</v>
      </c>
      <c r="G178" s="2">
        <f t="shared" si="9"/>
        <v>14.85</v>
      </c>
      <c r="H178" s="2">
        <f t="shared" si="9"/>
        <v>0</v>
      </c>
      <c r="I178" s="2">
        <f t="shared" si="9"/>
        <v>20.55</v>
      </c>
      <c r="J178">
        <v>1</v>
      </c>
    </row>
    <row r="179" spans="1:10" x14ac:dyDescent="0.25">
      <c r="A179">
        <v>3002</v>
      </c>
      <c r="B179" t="s">
        <v>355</v>
      </c>
      <c r="C179" s="203">
        <f t="shared" si="9"/>
        <v>50.1</v>
      </c>
      <c r="D179" s="203">
        <f t="shared" si="9"/>
        <v>38.04</v>
      </c>
      <c r="E179" s="2">
        <f t="shared" si="9"/>
        <v>36.96</v>
      </c>
      <c r="F179" s="2">
        <f t="shared" si="9"/>
        <v>21.15</v>
      </c>
      <c r="G179" s="2">
        <f t="shared" si="9"/>
        <v>13.79</v>
      </c>
      <c r="H179" s="2">
        <f t="shared" si="9"/>
        <v>12.13</v>
      </c>
      <c r="I179" s="2">
        <f t="shared" si="9"/>
        <v>38.94</v>
      </c>
      <c r="J179">
        <v>2</v>
      </c>
    </row>
    <row r="180" spans="1:10" x14ac:dyDescent="0.25">
      <c r="A180">
        <v>3003</v>
      </c>
      <c r="B180" t="s">
        <v>356</v>
      </c>
      <c r="C180" s="203">
        <f t="shared" si="9"/>
        <v>54.5</v>
      </c>
      <c r="D180" s="203">
        <f t="shared" si="9"/>
        <v>0</v>
      </c>
      <c r="E180" s="2">
        <f t="shared" si="9"/>
        <v>51.68</v>
      </c>
      <c r="F180" s="2">
        <f t="shared" si="9"/>
        <v>23.7</v>
      </c>
      <c r="G180" s="2">
        <f t="shared" si="9"/>
        <v>14.85</v>
      </c>
      <c r="H180" s="2">
        <f t="shared" si="9"/>
        <v>0</v>
      </c>
      <c r="I180" s="2">
        <f t="shared" si="9"/>
        <v>20.55</v>
      </c>
      <c r="J180">
        <v>1</v>
      </c>
    </row>
    <row r="181" spans="1:10" x14ac:dyDescent="0.25">
      <c r="A181">
        <v>3004</v>
      </c>
      <c r="B181" t="s">
        <v>357</v>
      </c>
      <c r="C181" s="203">
        <f t="shared" si="9"/>
        <v>54.5</v>
      </c>
      <c r="D181" s="203">
        <f t="shared" si="9"/>
        <v>0</v>
      </c>
      <c r="E181" s="2">
        <f t="shared" si="9"/>
        <v>51.68</v>
      </c>
      <c r="F181" s="2">
        <f t="shared" si="9"/>
        <v>23.7</v>
      </c>
      <c r="G181" s="2">
        <f t="shared" si="9"/>
        <v>14.85</v>
      </c>
      <c r="H181" s="2">
        <f t="shared" si="9"/>
        <v>0</v>
      </c>
      <c r="I181" s="2">
        <f t="shared" si="9"/>
        <v>20.55</v>
      </c>
      <c r="J181">
        <v>1</v>
      </c>
    </row>
    <row r="182" spans="1:10" x14ac:dyDescent="0.25">
      <c r="A182">
        <v>3005</v>
      </c>
      <c r="B182" t="s">
        <v>358</v>
      </c>
      <c r="C182" s="203">
        <f t="shared" si="9"/>
        <v>54.5</v>
      </c>
      <c r="D182" s="203">
        <f t="shared" si="9"/>
        <v>0</v>
      </c>
      <c r="E182" s="2">
        <f t="shared" si="9"/>
        <v>51.68</v>
      </c>
      <c r="F182" s="2">
        <f t="shared" si="9"/>
        <v>23.7</v>
      </c>
      <c r="G182" s="2">
        <f t="shared" si="9"/>
        <v>14.85</v>
      </c>
      <c r="H182" s="2">
        <f t="shared" si="9"/>
        <v>0</v>
      </c>
      <c r="I182" s="2">
        <f t="shared" si="9"/>
        <v>20.55</v>
      </c>
      <c r="J182">
        <v>1</v>
      </c>
    </row>
    <row r="183" spans="1:10" x14ac:dyDescent="0.25">
      <c r="A183">
        <v>3006</v>
      </c>
      <c r="B183" t="s">
        <v>1011</v>
      </c>
      <c r="C183" s="203">
        <f t="shared" ref="C183:I219" si="10">VLOOKUP($J183,$L$118:$S$120,C$115,FALSE)</f>
        <v>54.5</v>
      </c>
      <c r="D183" s="203">
        <f t="shared" si="10"/>
        <v>0</v>
      </c>
      <c r="E183" s="2">
        <f t="shared" si="10"/>
        <v>51.68</v>
      </c>
      <c r="F183" s="2">
        <f t="shared" si="10"/>
        <v>23.7</v>
      </c>
      <c r="G183" s="2">
        <f t="shared" si="10"/>
        <v>14.85</v>
      </c>
      <c r="H183" s="2">
        <f t="shared" si="10"/>
        <v>0</v>
      </c>
      <c r="I183" s="2">
        <f t="shared" si="10"/>
        <v>20.55</v>
      </c>
      <c r="J183">
        <v>1</v>
      </c>
    </row>
    <row r="184" spans="1:10" x14ac:dyDescent="0.25">
      <c r="A184">
        <v>3007</v>
      </c>
      <c r="B184" t="s">
        <v>359</v>
      </c>
      <c r="C184" s="203">
        <f t="shared" si="10"/>
        <v>54.5</v>
      </c>
      <c r="D184" s="203">
        <f t="shared" si="10"/>
        <v>0</v>
      </c>
      <c r="E184" s="2">
        <f t="shared" si="10"/>
        <v>51.68</v>
      </c>
      <c r="F184" s="2">
        <f t="shared" si="10"/>
        <v>23.7</v>
      </c>
      <c r="G184" s="2">
        <f t="shared" si="10"/>
        <v>14.85</v>
      </c>
      <c r="H184" s="2">
        <f t="shared" si="10"/>
        <v>0</v>
      </c>
      <c r="I184" s="2">
        <f t="shared" si="10"/>
        <v>20.55</v>
      </c>
      <c r="J184">
        <v>1</v>
      </c>
    </row>
    <row r="185" spans="1:10" x14ac:dyDescent="0.25">
      <c r="A185">
        <v>3008</v>
      </c>
      <c r="B185" t="s">
        <v>360</v>
      </c>
      <c r="C185" s="203">
        <f t="shared" si="10"/>
        <v>54.5</v>
      </c>
      <c r="D185" s="203">
        <f t="shared" si="10"/>
        <v>0</v>
      </c>
      <c r="E185" s="2">
        <f t="shared" si="10"/>
        <v>51.68</v>
      </c>
      <c r="F185" s="2">
        <f t="shared" si="10"/>
        <v>23.7</v>
      </c>
      <c r="G185" s="2">
        <f t="shared" si="10"/>
        <v>14.85</v>
      </c>
      <c r="H185" s="2">
        <f t="shared" si="10"/>
        <v>0</v>
      </c>
      <c r="I185" s="2">
        <f t="shared" si="10"/>
        <v>20.55</v>
      </c>
      <c r="J185">
        <v>1</v>
      </c>
    </row>
    <row r="186" spans="1:10" x14ac:dyDescent="0.25">
      <c r="A186">
        <v>3009</v>
      </c>
      <c r="B186" t="s">
        <v>361</v>
      </c>
      <c r="C186" s="203">
        <f t="shared" si="10"/>
        <v>54.5</v>
      </c>
      <c r="D186" s="203">
        <f t="shared" si="10"/>
        <v>0</v>
      </c>
      <c r="E186" s="2">
        <f t="shared" si="10"/>
        <v>51.68</v>
      </c>
      <c r="F186" s="2">
        <f t="shared" si="10"/>
        <v>23.7</v>
      </c>
      <c r="G186" s="2">
        <f t="shared" si="10"/>
        <v>14.85</v>
      </c>
      <c r="H186" s="2">
        <f t="shared" si="10"/>
        <v>0</v>
      </c>
      <c r="I186" s="2">
        <f t="shared" si="10"/>
        <v>20.55</v>
      </c>
      <c r="J186">
        <v>1</v>
      </c>
    </row>
    <row r="187" spans="1:10" x14ac:dyDescent="0.25">
      <c r="A187">
        <v>3010</v>
      </c>
      <c r="B187" t="s">
        <v>362</v>
      </c>
      <c r="C187" s="203">
        <f t="shared" si="10"/>
        <v>54.5</v>
      </c>
      <c r="D187" s="203">
        <f t="shared" si="10"/>
        <v>0</v>
      </c>
      <c r="E187" s="2">
        <f t="shared" si="10"/>
        <v>51.68</v>
      </c>
      <c r="F187" s="2">
        <f t="shared" si="10"/>
        <v>23.7</v>
      </c>
      <c r="G187" s="2">
        <f t="shared" si="10"/>
        <v>14.85</v>
      </c>
      <c r="H187" s="2">
        <f t="shared" si="10"/>
        <v>0</v>
      </c>
      <c r="I187" s="2">
        <f t="shared" si="10"/>
        <v>20.55</v>
      </c>
      <c r="J187">
        <v>1</v>
      </c>
    </row>
    <row r="188" spans="1:10" x14ac:dyDescent="0.25">
      <c r="A188">
        <v>3011</v>
      </c>
      <c r="B188" t="s">
        <v>363</v>
      </c>
      <c r="C188" s="203">
        <f t="shared" si="10"/>
        <v>54.5</v>
      </c>
      <c r="D188" s="203">
        <f t="shared" si="10"/>
        <v>0</v>
      </c>
      <c r="E188" s="2">
        <f t="shared" si="10"/>
        <v>51.68</v>
      </c>
      <c r="F188" s="2">
        <f t="shared" si="10"/>
        <v>23.7</v>
      </c>
      <c r="G188" s="2">
        <f t="shared" si="10"/>
        <v>14.85</v>
      </c>
      <c r="H188" s="2">
        <f t="shared" si="10"/>
        <v>0</v>
      </c>
      <c r="I188" s="2">
        <f t="shared" si="10"/>
        <v>20.55</v>
      </c>
      <c r="J188">
        <v>1</v>
      </c>
    </row>
    <row r="189" spans="1:10" x14ac:dyDescent="0.25">
      <c r="A189">
        <v>3012</v>
      </c>
      <c r="B189" t="s">
        <v>364</v>
      </c>
      <c r="C189" s="203">
        <f t="shared" si="10"/>
        <v>54.5</v>
      </c>
      <c r="D189" s="203">
        <f t="shared" si="10"/>
        <v>0</v>
      </c>
      <c r="E189" s="2">
        <f t="shared" si="10"/>
        <v>51.68</v>
      </c>
      <c r="F189" s="2">
        <f t="shared" si="10"/>
        <v>23.7</v>
      </c>
      <c r="G189" s="2">
        <f t="shared" si="10"/>
        <v>14.85</v>
      </c>
      <c r="H189" s="2">
        <f t="shared" si="10"/>
        <v>0</v>
      </c>
      <c r="I189" s="2">
        <f t="shared" si="10"/>
        <v>20.55</v>
      </c>
      <c r="J189">
        <v>1</v>
      </c>
    </row>
    <row r="190" spans="1:10" x14ac:dyDescent="0.25">
      <c r="A190">
        <v>3013</v>
      </c>
      <c r="B190" t="s">
        <v>365</v>
      </c>
      <c r="C190" s="203">
        <f t="shared" si="10"/>
        <v>54.5</v>
      </c>
      <c r="D190" s="203">
        <f t="shared" si="10"/>
        <v>0</v>
      </c>
      <c r="E190" s="2">
        <f t="shared" si="10"/>
        <v>51.68</v>
      </c>
      <c r="F190" s="2">
        <f t="shared" si="10"/>
        <v>23.7</v>
      </c>
      <c r="G190" s="2">
        <f t="shared" si="10"/>
        <v>14.85</v>
      </c>
      <c r="H190" s="2">
        <f t="shared" si="10"/>
        <v>0</v>
      </c>
      <c r="I190" s="2">
        <f t="shared" si="10"/>
        <v>20.55</v>
      </c>
      <c r="J190">
        <v>1</v>
      </c>
    </row>
    <row r="191" spans="1:10" x14ac:dyDescent="0.25">
      <c r="A191">
        <v>3014</v>
      </c>
      <c r="B191" t="s">
        <v>366</v>
      </c>
      <c r="C191" s="203">
        <f t="shared" si="10"/>
        <v>54.5</v>
      </c>
      <c r="D191" s="203">
        <f t="shared" si="10"/>
        <v>0</v>
      </c>
      <c r="E191" s="2">
        <f t="shared" si="10"/>
        <v>51.68</v>
      </c>
      <c r="F191" s="2">
        <f t="shared" si="10"/>
        <v>23.7</v>
      </c>
      <c r="G191" s="2">
        <f t="shared" si="10"/>
        <v>14.85</v>
      </c>
      <c r="H191" s="2">
        <f t="shared" si="10"/>
        <v>0</v>
      </c>
      <c r="I191" s="2">
        <f t="shared" si="10"/>
        <v>20.55</v>
      </c>
      <c r="J191">
        <v>1</v>
      </c>
    </row>
    <row r="192" spans="1:10" x14ac:dyDescent="0.25">
      <c r="A192">
        <v>3015</v>
      </c>
      <c r="B192" t="s">
        <v>367</v>
      </c>
      <c r="C192" s="203">
        <f t="shared" si="10"/>
        <v>54.5</v>
      </c>
      <c r="D192" s="203">
        <f t="shared" si="10"/>
        <v>0</v>
      </c>
      <c r="E192" s="2">
        <f t="shared" si="10"/>
        <v>51.68</v>
      </c>
      <c r="F192" s="2">
        <f t="shared" si="10"/>
        <v>23.7</v>
      </c>
      <c r="G192" s="2">
        <f t="shared" si="10"/>
        <v>14.85</v>
      </c>
      <c r="H192" s="2">
        <f t="shared" si="10"/>
        <v>0</v>
      </c>
      <c r="I192" s="2">
        <f t="shared" si="10"/>
        <v>20.55</v>
      </c>
      <c r="J192">
        <v>1</v>
      </c>
    </row>
    <row r="193" spans="1:10" x14ac:dyDescent="0.25">
      <c r="A193">
        <v>3016</v>
      </c>
      <c r="B193" t="s">
        <v>368</v>
      </c>
      <c r="C193" s="203">
        <f t="shared" si="10"/>
        <v>54.5</v>
      </c>
      <c r="D193" s="203">
        <f t="shared" si="10"/>
        <v>0</v>
      </c>
      <c r="E193" s="2">
        <f t="shared" si="10"/>
        <v>51.68</v>
      </c>
      <c r="F193" s="2">
        <f t="shared" si="10"/>
        <v>23.7</v>
      </c>
      <c r="G193" s="2">
        <f t="shared" si="10"/>
        <v>14.85</v>
      </c>
      <c r="H193" s="2">
        <f t="shared" si="10"/>
        <v>0</v>
      </c>
      <c r="I193" s="2">
        <f t="shared" si="10"/>
        <v>20.55</v>
      </c>
      <c r="J193">
        <v>1</v>
      </c>
    </row>
    <row r="194" spans="1:10" x14ac:dyDescent="0.25">
      <c r="A194">
        <v>3017</v>
      </c>
      <c r="B194" t="s">
        <v>190</v>
      </c>
      <c r="C194" s="203">
        <f t="shared" si="10"/>
        <v>54.5</v>
      </c>
      <c r="D194" s="203">
        <f t="shared" si="10"/>
        <v>0</v>
      </c>
      <c r="E194" s="2">
        <f t="shared" si="10"/>
        <v>51.68</v>
      </c>
      <c r="F194" s="2">
        <f t="shared" si="10"/>
        <v>23.7</v>
      </c>
      <c r="G194" s="2">
        <f t="shared" si="10"/>
        <v>14.85</v>
      </c>
      <c r="H194" s="2">
        <f t="shared" si="10"/>
        <v>0</v>
      </c>
      <c r="I194" s="2">
        <f t="shared" si="10"/>
        <v>20.55</v>
      </c>
      <c r="J194">
        <v>1</v>
      </c>
    </row>
    <row r="195" spans="1:10" x14ac:dyDescent="0.25">
      <c r="A195">
        <v>3018</v>
      </c>
      <c r="B195" t="s">
        <v>369</v>
      </c>
      <c r="C195" s="203">
        <f t="shared" si="10"/>
        <v>54.5</v>
      </c>
      <c r="D195" s="203">
        <f t="shared" si="10"/>
        <v>0</v>
      </c>
      <c r="E195" s="2">
        <f t="shared" si="10"/>
        <v>51.68</v>
      </c>
      <c r="F195" s="2">
        <f t="shared" si="10"/>
        <v>23.7</v>
      </c>
      <c r="G195" s="2">
        <f t="shared" si="10"/>
        <v>14.85</v>
      </c>
      <c r="H195" s="2">
        <f t="shared" si="10"/>
        <v>0</v>
      </c>
      <c r="I195" s="2">
        <f t="shared" si="10"/>
        <v>20.55</v>
      </c>
      <c r="J195">
        <v>1</v>
      </c>
    </row>
    <row r="196" spans="1:10" x14ac:dyDescent="0.25">
      <c r="A196">
        <v>3019</v>
      </c>
      <c r="B196" t="s">
        <v>370</v>
      </c>
      <c r="C196" s="203">
        <f t="shared" si="10"/>
        <v>54.5</v>
      </c>
      <c r="D196" s="203">
        <f t="shared" si="10"/>
        <v>0</v>
      </c>
      <c r="E196" s="2">
        <f t="shared" si="10"/>
        <v>51.68</v>
      </c>
      <c r="F196" s="2">
        <f t="shared" si="10"/>
        <v>23.7</v>
      </c>
      <c r="G196" s="2">
        <f t="shared" si="10"/>
        <v>14.85</v>
      </c>
      <c r="H196" s="2">
        <f t="shared" si="10"/>
        <v>0</v>
      </c>
      <c r="I196" s="2">
        <f t="shared" si="10"/>
        <v>20.55</v>
      </c>
      <c r="J196">
        <v>1</v>
      </c>
    </row>
    <row r="197" spans="1:10" x14ac:dyDescent="0.25">
      <c r="A197">
        <v>4000</v>
      </c>
      <c r="B197" t="s">
        <v>371</v>
      </c>
      <c r="C197" s="203">
        <f t="shared" si="10"/>
        <v>58.74</v>
      </c>
      <c r="D197" s="203">
        <f t="shared" si="10"/>
        <v>0</v>
      </c>
      <c r="E197" s="2">
        <f t="shared" si="10"/>
        <v>56.08</v>
      </c>
      <c r="F197" s="2">
        <f t="shared" si="10"/>
        <v>32.33</v>
      </c>
      <c r="G197" s="2">
        <f t="shared" si="10"/>
        <v>0</v>
      </c>
      <c r="H197" s="2">
        <f t="shared" si="10"/>
        <v>0</v>
      </c>
      <c r="I197" s="2">
        <f t="shared" si="10"/>
        <v>14.74</v>
      </c>
      <c r="J197">
        <v>0</v>
      </c>
    </row>
    <row r="198" spans="1:10" x14ac:dyDescent="0.25">
      <c r="A198">
        <v>4001</v>
      </c>
      <c r="B198" t="s">
        <v>372</v>
      </c>
      <c r="C198" s="203">
        <f t="shared" si="10"/>
        <v>50.1</v>
      </c>
      <c r="D198" s="203">
        <f t="shared" si="10"/>
        <v>38.04</v>
      </c>
      <c r="E198" s="2">
        <f t="shared" si="10"/>
        <v>36.96</v>
      </c>
      <c r="F198" s="2">
        <f t="shared" si="10"/>
        <v>21.15</v>
      </c>
      <c r="G198" s="2">
        <f t="shared" si="10"/>
        <v>13.79</v>
      </c>
      <c r="H198" s="2">
        <f t="shared" si="10"/>
        <v>12.13</v>
      </c>
      <c r="I198" s="2">
        <f t="shared" si="10"/>
        <v>38.94</v>
      </c>
      <c r="J198">
        <v>2</v>
      </c>
    </row>
    <row r="199" spans="1:10" x14ac:dyDescent="0.25">
      <c r="A199">
        <v>4002</v>
      </c>
      <c r="B199" t="s">
        <v>373</v>
      </c>
      <c r="C199" s="203">
        <f t="shared" si="10"/>
        <v>54.5</v>
      </c>
      <c r="D199" s="203">
        <f t="shared" si="10"/>
        <v>0</v>
      </c>
      <c r="E199" s="2">
        <f t="shared" si="10"/>
        <v>51.68</v>
      </c>
      <c r="F199" s="2">
        <f t="shared" si="10"/>
        <v>23.7</v>
      </c>
      <c r="G199" s="2">
        <f t="shared" si="10"/>
        <v>14.85</v>
      </c>
      <c r="H199" s="2">
        <f t="shared" si="10"/>
        <v>0</v>
      </c>
      <c r="I199" s="2">
        <f t="shared" si="10"/>
        <v>20.55</v>
      </c>
      <c r="J199">
        <v>1</v>
      </c>
    </row>
    <row r="200" spans="1:10" x14ac:dyDescent="0.25">
      <c r="A200">
        <v>4003</v>
      </c>
      <c r="B200" t="s">
        <v>374</v>
      </c>
      <c r="C200" s="203">
        <f t="shared" si="10"/>
        <v>54.5</v>
      </c>
      <c r="D200" s="203">
        <f t="shared" si="10"/>
        <v>0</v>
      </c>
      <c r="E200" s="2">
        <f t="shared" si="10"/>
        <v>51.68</v>
      </c>
      <c r="F200" s="2">
        <f t="shared" si="10"/>
        <v>23.7</v>
      </c>
      <c r="G200" s="2">
        <f t="shared" si="10"/>
        <v>14.85</v>
      </c>
      <c r="H200" s="2">
        <f t="shared" si="10"/>
        <v>0</v>
      </c>
      <c r="I200" s="2">
        <f t="shared" si="10"/>
        <v>20.55</v>
      </c>
      <c r="J200">
        <v>1</v>
      </c>
    </row>
    <row r="201" spans="1:10" x14ac:dyDescent="0.25">
      <c r="A201">
        <v>4004</v>
      </c>
      <c r="B201" t="s">
        <v>375</v>
      </c>
      <c r="C201" s="203">
        <f t="shared" si="10"/>
        <v>54.5</v>
      </c>
      <c r="D201" s="203">
        <f t="shared" si="10"/>
        <v>0</v>
      </c>
      <c r="E201" s="2">
        <f t="shared" si="10"/>
        <v>51.68</v>
      </c>
      <c r="F201" s="2">
        <f t="shared" si="10"/>
        <v>23.7</v>
      </c>
      <c r="G201" s="2">
        <f t="shared" si="10"/>
        <v>14.85</v>
      </c>
      <c r="H201" s="2">
        <f t="shared" si="10"/>
        <v>0</v>
      </c>
      <c r="I201" s="2">
        <f t="shared" si="10"/>
        <v>20.55</v>
      </c>
      <c r="J201">
        <v>1</v>
      </c>
    </row>
    <row r="202" spans="1:10" x14ac:dyDescent="0.25">
      <c r="A202">
        <v>4005</v>
      </c>
      <c r="B202" t="s">
        <v>376</v>
      </c>
      <c r="C202" s="203">
        <f t="shared" si="10"/>
        <v>54.5</v>
      </c>
      <c r="D202" s="203">
        <f t="shared" si="10"/>
        <v>0</v>
      </c>
      <c r="E202" s="2">
        <f t="shared" si="10"/>
        <v>51.68</v>
      </c>
      <c r="F202" s="2">
        <f t="shared" si="10"/>
        <v>23.7</v>
      </c>
      <c r="G202" s="2">
        <f t="shared" si="10"/>
        <v>14.85</v>
      </c>
      <c r="H202" s="2">
        <f t="shared" si="10"/>
        <v>0</v>
      </c>
      <c r="I202" s="2">
        <f t="shared" si="10"/>
        <v>20.55</v>
      </c>
      <c r="J202">
        <v>1</v>
      </c>
    </row>
    <row r="203" spans="1:10" x14ac:dyDescent="0.25">
      <c r="A203">
        <v>4006</v>
      </c>
      <c r="B203" t="s">
        <v>377</v>
      </c>
      <c r="C203" s="203">
        <f t="shared" si="10"/>
        <v>54.5</v>
      </c>
      <c r="D203" s="203">
        <f t="shared" si="10"/>
        <v>0</v>
      </c>
      <c r="E203" s="2">
        <f t="shared" si="10"/>
        <v>51.68</v>
      </c>
      <c r="F203" s="2">
        <f t="shared" si="10"/>
        <v>23.7</v>
      </c>
      <c r="G203" s="2">
        <f t="shared" si="10"/>
        <v>14.85</v>
      </c>
      <c r="H203" s="2">
        <f t="shared" si="10"/>
        <v>0</v>
      </c>
      <c r="I203" s="2">
        <f t="shared" si="10"/>
        <v>20.55</v>
      </c>
      <c r="J203">
        <v>1</v>
      </c>
    </row>
    <row r="204" spans="1:10" x14ac:dyDescent="0.25">
      <c r="A204">
        <v>4007</v>
      </c>
      <c r="B204" t="s">
        <v>378</v>
      </c>
      <c r="C204" s="203">
        <f t="shared" si="10"/>
        <v>54.5</v>
      </c>
      <c r="D204" s="203">
        <f t="shared" si="10"/>
        <v>0</v>
      </c>
      <c r="E204" s="2">
        <f t="shared" si="10"/>
        <v>51.68</v>
      </c>
      <c r="F204" s="2">
        <f t="shared" si="10"/>
        <v>23.7</v>
      </c>
      <c r="G204" s="2">
        <f t="shared" si="10"/>
        <v>14.85</v>
      </c>
      <c r="H204" s="2">
        <f t="shared" si="10"/>
        <v>0</v>
      </c>
      <c r="I204" s="2">
        <f t="shared" si="10"/>
        <v>20.55</v>
      </c>
      <c r="J204">
        <v>1</v>
      </c>
    </row>
    <row r="205" spans="1:10" x14ac:dyDescent="0.25">
      <c r="A205">
        <v>4008</v>
      </c>
      <c r="B205" t="s">
        <v>379</v>
      </c>
      <c r="C205" s="203">
        <f t="shared" si="10"/>
        <v>54.5</v>
      </c>
      <c r="D205" s="203">
        <f t="shared" si="10"/>
        <v>0</v>
      </c>
      <c r="E205" s="2">
        <f t="shared" si="10"/>
        <v>51.68</v>
      </c>
      <c r="F205" s="2">
        <f t="shared" si="10"/>
        <v>23.7</v>
      </c>
      <c r="G205" s="2">
        <f t="shared" si="10"/>
        <v>14.85</v>
      </c>
      <c r="H205" s="2">
        <f t="shared" si="10"/>
        <v>0</v>
      </c>
      <c r="I205" s="2">
        <f t="shared" si="10"/>
        <v>20.55</v>
      </c>
      <c r="J205">
        <v>1</v>
      </c>
    </row>
    <row r="206" spans="1:10" x14ac:dyDescent="0.25">
      <c r="A206">
        <v>5000</v>
      </c>
      <c r="B206" t="s">
        <v>380</v>
      </c>
      <c r="C206" s="203">
        <f t="shared" si="10"/>
        <v>58.74</v>
      </c>
      <c r="D206" s="203">
        <f t="shared" si="10"/>
        <v>0</v>
      </c>
      <c r="E206" s="2">
        <f t="shared" si="10"/>
        <v>56.08</v>
      </c>
      <c r="F206" s="2">
        <f t="shared" si="10"/>
        <v>32.33</v>
      </c>
      <c r="G206" s="2">
        <f t="shared" si="10"/>
        <v>0</v>
      </c>
      <c r="H206" s="2">
        <f t="shared" si="10"/>
        <v>0</v>
      </c>
      <c r="I206" s="2">
        <f t="shared" si="10"/>
        <v>14.74</v>
      </c>
      <c r="J206">
        <v>0</v>
      </c>
    </row>
    <row r="207" spans="1:10" x14ac:dyDescent="0.25">
      <c r="A207">
        <v>5001</v>
      </c>
      <c r="B207" t="s">
        <v>381</v>
      </c>
      <c r="C207" s="203">
        <f t="shared" si="10"/>
        <v>54.5</v>
      </c>
      <c r="D207" s="203">
        <f t="shared" si="10"/>
        <v>0</v>
      </c>
      <c r="E207" s="2">
        <f t="shared" si="10"/>
        <v>51.68</v>
      </c>
      <c r="F207" s="2">
        <f t="shared" si="10"/>
        <v>23.7</v>
      </c>
      <c r="G207" s="2">
        <f t="shared" si="10"/>
        <v>14.85</v>
      </c>
      <c r="H207" s="2">
        <f t="shared" si="10"/>
        <v>0</v>
      </c>
      <c r="I207" s="2">
        <f t="shared" si="10"/>
        <v>20.55</v>
      </c>
      <c r="J207">
        <v>1</v>
      </c>
    </row>
    <row r="208" spans="1:10" x14ac:dyDescent="0.25">
      <c r="A208">
        <v>5002</v>
      </c>
      <c r="B208" t="s">
        <v>382</v>
      </c>
      <c r="C208" s="203">
        <f t="shared" si="10"/>
        <v>54.5</v>
      </c>
      <c r="D208" s="203">
        <f t="shared" si="10"/>
        <v>0</v>
      </c>
      <c r="E208" s="2">
        <f t="shared" si="10"/>
        <v>51.68</v>
      </c>
      <c r="F208" s="2">
        <f t="shared" si="10"/>
        <v>23.7</v>
      </c>
      <c r="G208" s="2">
        <f t="shared" si="10"/>
        <v>14.85</v>
      </c>
      <c r="H208" s="2">
        <f t="shared" si="10"/>
        <v>0</v>
      </c>
      <c r="I208" s="2">
        <f t="shared" si="10"/>
        <v>20.55</v>
      </c>
      <c r="J208">
        <v>1</v>
      </c>
    </row>
    <row r="209" spans="1:10" x14ac:dyDescent="0.25">
      <c r="A209">
        <v>5003</v>
      </c>
      <c r="B209" t="s">
        <v>383</v>
      </c>
      <c r="C209" s="203">
        <f t="shared" si="10"/>
        <v>54.5</v>
      </c>
      <c r="D209" s="203">
        <f t="shared" si="10"/>
        <v>0</v>
      </c>
      <c r="E209" s="2">
        <f t="shared" si="10"/>
        <v>51.68</v>
      </c>
      <c r="F209" s="2">
        <f t="shared" si="10"/>
        <v>23.7</v>
      </c>
      <c r="G209" s="2">
        <f t="shared" si="10"/>
        <v>14.85</v>
      </c>
      <c r="H209" s="2">
        <f t="shared" si="10"/>
        <v>0</v>
      </c>
      <c r="I209" s="2">
        <f t="shared" si="10"/>
        <v>20.55</v>
      </c>
      <c r="J209">
        <v>1</v>
      </c>
    </row>
    <row r="210" spans="1:10" x14ac:dyDescent="0.25">
      <c r="A210">
        <v>5004</v>
      </c>
      <c r="B210" t="s">
        <v>384</v>
      </c>
      <c r="C210" s="203">
        <f t="shared" si="10"/>
        <v>54.5</v>
      </c>
      <c r="D210" s="203">
        <f t="shared" si="10"/>
        <v>0</v>
      </c>
      <c r="E210" s="2">
        <f t="shared" si="10"/>
        <v>51.68</v>
      </c>
      <c r="F210" s="2">
        <f t="shared" si="10"/>
        <v>23.7</v>
      </c>
      <c r="G210" s="2">
        <f t="shared" si="10"/>
        <v>14.85</v>
      </c>
      <c r="H210" s="2">
        <f t="shared" si="10"/>
        <v>0</v>
      </c>
      <c r="I210" s="2">
        <f t="shared" si="10"/>
        <v>20.55</v>
      </c>
      <c r="J210">
        <v>1</v>
      </c>
    </row>
    <row r="211" spans="1:10" x14ac:dyDescent="0.25">
      <c r="A211">
        <v>5005</v>
      </c>
      <c r="B211" t="s">
        <v>385</v>
      </c>
      <c r="C211" s="203">
        <f t="shared" si="10"/>
        <v>54.5</v>
      </c>
      <c r="D211" s="203">
        <f t="shared" si="10"/>
        <v>0</v>
      </c>
      <c r="E211" s="2">
        <f t="shared" si="10"/>
        <v>51.68</v>
      </c>
      <c r="F211" s="2">
        <f t="shared" si="10"/>
        <v>23.7</v>
      </c>
      <c r="G211" s="2">
        <f t="shared" si="10"/>
        <v>14.85</v>
      </c>
      <c r="H211" s="2">
        <f t="shared" si="10"/>
        <v>0</v>
      </c>
      <c r="I211" s="2">
        <f t="shared" si="10"/>
        <v>20.55</v>
      </c>
      <c r="J211">
        <v>1</v>
      </c>
    </row>
    <row r="212" spans="1:10" x14ac:dyDescent="0.25">
      <c r="A212">
        <v>5006</v>
      </c>
      <c r="B212" t="s">
        <v>386</v>
      </c>
      <c r="C212" s="203">
        <f t="shared" si="10"/>
        <v>54.5</v>
      </c>
      <c r="D212" s="203">
        <f t="shared" si="10"/>
        <v>0</v>
      </c>
      <c r="E212" s="2">
        <f t="shared" si="10"/>
        <v>51.68</v>
      </c>
      <c r="F212" s="2">
        <f t="shared" si="10"/>
        <v>23.7</v>
      </c>
      <c r="G212" s="2">
        <f t="shared" si="10"/>
        <v>14.85</v>
      </c>
      <c r="H212" s="2">
        <f t="shared" si="10"/>
        <v>0</v>
      </c>
      <c r="I212" s="2">
        <f t="shared" si="10"/>
        <v>20.55</v>
      </c>
      <c r="J212">
        <v>1</v>
      </c>
    </row>
    <row r="213" spans="1:10" x14ac:dyDescent="0.25">
      <c r="A213">
        <v>5007</v>
      </c>
      <c r="B213" t="s">
        <v>387</v>
      </c>
      <c r="C213" s="203">
        <f t="shared" si="10"/>
        <v>54.5</v>
      </c>
      <c r="D213" s="203">
        <f t="shared" si="10"/>
        <v>0</v>
      </c>
      <c r="E213" s="2">
        <f t="shared" si="10"/>
        <v>51.68</v>
      </c>
      <c r="F213" s="2">
        <f t="shared" si="10"/>
        <v>23.7</v>
      </c>
      <c r="G213" s="2">
        <f t="shared" si="10"/>
        <v>14.85</v>
      </c>
      <c r="H213" s="2">
        <f t="shared" si="10"/>
        <v>0</v>
      </c>
      <c r="I213" s="2">
        <f t="shared" si="10"/>
        <v>20.55</v>
      </c>
      <c r="J213">
        <v>1</v>
      </c>
    </row>
    <row r="214" spans="1:10" x14ac:dyDescent="0.25">
      <c r="A214">
        <v>5008</v>
      </c>
      <c r="B214" t="s">
        <v>388</v>
      </c>
      <c r="C214" s="203">
        <f t="shared" si="10"/>
        <v>54.5</v>
      </c>
      <c r="D214" s="203">
        <f t="shared" si="10"/>
        <v>0</v>
      </c>
      <c r="E214" s="2">
        <f t="shared" si="10"/>
        <v>51.68</v>
      </c>
      <c r="F214" s="2">
        <f t="shared" si="10"/>
        <v>23.7</v>
      </c>
      <c r="G214" s="2">
        <f t="shared" si="10"/>
        <v>14.85</v>
      </c>
      <c r="H214" s="2">
        <f t="shared" si="10"/>
        <v>0</v>
      </c>
      <c r="I214" s="2">
        <f t="shared" si="10"/>
        <v>20.55</v>
      </c>
      <c r="J214">
        <v>1</v>
      </c>
    </row>
    <row r="215" spans="1:10" x14ac:dyDescent="0.25">
      <c r="A215">
        <v>5009</v>
      </c>
      <c r="B215" t="s">
        <v>389</v>
      </c>
      <c r="C215" s="203">
        <f t="shared" si="10"/>
        <v>50.1</v>
      </c>
      <c r="D215" s="203">
        <f t="shared" si="10"/>
        <v>38.04</v>
      </c>
      <c r="E215" s="2">
        <f t="shared" si="10"/>
        <v>36.96</v>
      </c>
      <c r="F215" s="2">
        <f t="shared" si="10"/>
        <v>21.15</v>
      </c>
      <c r="G215" s="2">
        <f t="shared" si="10"/>
        <v>13.79</v>
      </c>
      <c r="H215" s="2">
        <f t="shared" si="10"/>
        <v>12.13</v>
      </c>
      <c r="I215" s="2">
        <f t="shared" si="10"/>
        <v>38.94</v>
      </c>
      <c r="J215">
        <v>2</v>
      </c>
    </row>
    <row r="216" spans="1:10" x14ac:dyDescent="0.25">
      <c r="A216">
        <v>5010</v>
      </c>
      <c r="B216" t="s">
        <v>390</v>
      </c>
      <c r="C216" s="203">
        <f t="shared" si="10"/>
        <v>54.5</v>
      </c>
      <c r="D216" s="203">
        <f t="shared" si="10"/>
        <v>0</v>
      </c>
      <c r="E216" s="2">
        <f t="shared" si="10"/>
        <v>51.68</v>
      </c>
      <c r="F216" s="2">
        <f t="shared" si="10"/>
        <v>23.7</v>
      </c>
      <c r="G216" s="2">
        <f t="shared" si="10"/>
        <v>14.85</v>
      </c>
      <c r="H216" s="2">
        <f t="shared" si="10"/>
        <v>0</v>
      </c>
      <c r="I216" s="2">
        <f t="shared" si="10"/>
        <v>20.55</v>
      </c>
      <c r="J216">
        <v>1</v>
      </c>
    </row>
    <row r="217" spans="1:10" x14ac:dyDescent="0.25">
      <c r="A217">
        <v>6000</v>
      </c>
      <c r="B217" t="s">
        <v>391</v>
      </c>
      <c r="C217" s="203">
        <f t="shared" si="10"/>
        <v>58.74</v>
      </c>
      <c r="D217" s="203">
        <f t="shared" si="10"/>
        <v>0</v>
      </c>
      <c r="E217" s="2">
        <f t="shared" si="10"/>
        <v>56.08</v>
      </c>
      <c r="F217" s="2">
        <f t="shared" si="10"/>
        <v>32.33</v>
      </c>
      <c r="G217" s="2">
        <f t="shared" si="10"/>
        <v>0</v>
      </c>
      <c r="H217" s="2">
        <f t="shared" si="10"/>
        <v>0</v>
      </c>
      <c r="I217" s="2">
        <f t="shared" si="10"/>
        <v>14.74</v>
      </c>
      <c r="J217">
        <v>0</v>
      </c>
    </row>
    <row r="218" spans="1:10" x14ac:dyDescent="0.25">
      <c r="A218">
        <v>6001</v>
      </c>
      <c r="B218" t="s">
        <v>1012</v>
      </c>
      <c r="C218" s="203">
        <f t="shared" si="10"/>
        <v>54.5</v>
      </c>
      <c r="D218" s="203">
        <f t="shared" si="10"/>
        <v>0</v>
      </c>
      <c r="E218" s="2">
        <f t="shared" si="10"/>
        <v>51.68</v>
      </c>
      <c r="F218" s="2">
        <f t="shared" si="10"/>
        <v>23.7</v>
      </c>
      <c r="G218" s="2">
        <f t="shared" si="10"/>
        <v>14.85</v>
      </c>
      <c r="H218" s="2">
        <f t="shared" si="10"/>
        <v>0</v>
      </c>
      <c r="I218" s="2">
        <f t="shared" si="10"/>
        <v>20.55</v>
      </c>
      <c r="J218">
        <v>1</v>
      </c>
    </row>
    <row r="219" spans="1:10" x14ac:dyDescent="0.25">
      <c r="A219">
        <v>6002</v>
      </c>
      <c r="B219" t="s">
        <v>392</v>
      </c>
      <c r="C219" s="203">
        <f t="shared" si="10"/>
        <v>54.5</v>
      </c>
      <c r="D219" s="203">
        <f t="shared" si="10"/>
        <v>0</v>
      </c>
      <c r="E219" s="2">
        <f t="shared" si="10"/>
        <v>51.68</v>
      </c>
      <c r="F219" s="2">
        <f t="shared" ref="D219:I225" si="11">VLOOKUP($J219,$L$118:$S$120,F$115,FALSE)</f>
        <v>23.7</v>
      </c>
      <c r="G219" s="2">
        <f t="shared" si="11"/>
        <v>14.85</v>
      </c>
      <c r="H219" s="2">
        <f t="shared" si="11"/>
        <v>0</v>
      </c>
      <c r="I219" s="2">
        <f t="shared" si="11"/>
        <v>20.55</v>
      </c>
      <c r="J219">
        <v>1</v>
      </c>
    </row>
    <row r="220" spans="1:10" x14ac:dyDescent="0.25">
      <c r="A220">
        <v>6003</v>
      </c>
      <c r="B220" t="s">
        <v>393</v>
      </c>
      <c r="C220" s="203">
        <f t="shared" ref="C220:C225" si="12">VLOOKUP($J220,$L$118:$S$120,C$115,FALSE)</f>
        <v>50.1</v>
      </c>
      <c r="D220" s="203">
        <f t="shared" si="11"/>
        <v>38.04</v>
      </c>
      <c r="E220" s="2">
        <f t="shared" si="11"/>
        <v>36.96</v>
      </c>
      <c r="F220" s="2">
        <f t="shared" si="11"/>
        <v>21.15</v>
      </c>
      <c r="G220" s="2">
        <f t="shared" si="11"/>
        <v>13.79</v>
      </c>
      <c r="H220" s="2">
        <f t="shared" si="11"/>
        <v>12.13</v>
      </c>
      <c r="I220" s="2">
        <f t="shared" si="11"/>
        <v>38.94</v>
      </c>
      <c r="J220">
        <v>2</v>
      </c>
    </row>
    <row r="221" spans="1:10" x14ac:dyDescent="0.25">
      <c r="A221">
        <v>6004</v>
      </c>
      <c r="B221" t="s">
        <v>194</v>
      </c>
      <c r="C221" s="203">
        <f t="shared" si="12"/>
        <v>54.5</v>
      </c>
      <c r="D221" s="203">
        <f t="shared" si="11"/>
        <v>0</v>
      </c>
      <c r="E221" s="2">
        <f t="shared" si="11"/>
        <v>51.68</v>
      </c>
      <c r="F221" s="2">
        <f t="shared" si="11"/>
        <v>23.7</v>
      </c>
      <c r="G221" s="2">
        <f t="shared" si="11"/>
        <v>14.85</v>
      </c>
      <c r="H221" s="2">
        <f t="shared" si="11"/>
        <v>0</v>
      </c>
      <c r="I221" s="2">
        <f t="shared" si="11"/>
        <v>20.55</v>
      </c>
      <c r="J221">
        <v>1</v>
      </c>
    </row>
    <row r="222" spans="1:10" x14ac:dyDescent="0.25">
      <c r="A222">
        <v>6005</v>
      </c>
      <c r="B222" t="s">
        <v>394</v>
      </c>
      <c r="C222" s="203">
        <f t="shared" si="12"/>
        <v>54.5</v>
      </c>
      <c r="D222" s="203">
        <f t="shared" si="11"/>
        <v>0</v>
      </c>
      <c r="E222" s="2">
        <f t="shared" si="11"/>
        <v>51.68</v>
      </c>
      <c r="F222" s="2">
        <f t="shared" si="11"/>
        <v>23.7</v>
      </c>
      <c r="G222" s="2">
        <f t="shared" si="11"/>
        <v>14.85</v>
      </c>
      <c r="H222" s="2">
        <f t="shared" si="11"/>
        <v>0</v>
      </c>
      <c r="I222" s="2">
        <f t="shared" si="11"/>
        <v>20.55</v>
      </c>
      <c r="J222">
        <v>1</v>
      </c>
    </row>
    <row r="223" spans="1:10" x14ac:dyDescent="0.25">
      <c r="A223">
        <v>7000</v>
      </c>
      <c r="B223" t="s">
        <v>395</v>
      </c>
      <c r="C223" s="203">
        <f t="shared" si="12"/>
        <v>58.74</v>
      </c>
      <c r="D223" s="203">
        <f t="shared" si="11"/>
        <v>0</v>
      </c>
      <c r="E223" s="2">
        <f t="shared" si="11"/>
        <v>56.08</v>
      </c>
      <c r="F223" s="2">
        <f t="shared" si="11"/>
        <v>32.33</v>
      </c>
      <c r="G223" s="2">
        <f t="shared" si="11"/>
        <v>0</v>
      </c>
      <c r="H223" s="2">
        <f t="shared" si="11"/>
        <v>0</v>
      </c>
      <c r="I223" s="2">
        <f t="shared" si="11"/>
        <v>14.74</v>
      </c>
      <c r="J223">
        <v>0</v>
      </c>
    </row>
    <row r="224" spans="1:10" x14ac:dyDescent="0.25">
      <c r="A224">
        <v>7001</v>
      </c>
      <c r="B224" t="s">
        <v>396</v>
      </c>
      <c r="C224" s="203">
        <f t="shared" si="12"/>
        <v>54.5</v>
      </c>
      <c r="D224" s="203">
        <f t="shared" si="11"/>
        <v>0</v>
      </c>
      <c r="E224" s="2">
        <f t="shared" si="11"/>
        <v>51.68</v>
      </c>
      <c r="F224" s="2">
        <f t="shared" si="11"/>
        <v>23.7</v>
      </c>
      <c r="G224" s="2">
        <f t="shared" si="11"/>
        <v>14.85</v>
      </c>
      <c r="H224" s="2">
        <f t="shared" si="11"/>
        <v>0</v>
      </c>
      <c r="I224" s="2">
        <f t="shared" si="11"/>
        <v>20.55</v>
      </c>
      <c r="J224">
        <v>1</v>
      </c>
    </row>
    <row r="225" spans="1:10" x14ac:dyDescent="0.25">
      <c r="A225">
        <v>7002</v>
      </c>
      <c r="B225" t="s">
        <v>397</v>
      </c>
      <c r="C225" s="203">
        <f t="shared" si="12"/>
        <v>50.1</v>
      </c>
      <c r="D225" s="203">
        <f t="shared" si="11"/>
        <v>38.04</v>
      </c>
      <c r="E225" s="2">
        <f t="shared" si="11"/>
        <v>36.96</v>
      </c>
      <c r="F225" s="2">
        <f t="shared" si="11"/>
        <v>21.15</v>
      </c>
      <c r="G225" s="2">
        <f t="shared" si="11"/>
        <v>13.79</v>
      </c>
      <c r="H225" s="2">
        <f t="shared" si="11"/>
        <v>12.13</v>
      </c>
      <c r="I225" s="2">
        <f t="shared" si="11"/>
        <v>38.94</v>
      </c>
      <c r="J225">
        <v>2</v>
      </c>
    </row>
    <row r="226" spans="1:10" x14ac:dyDescent="0.25">
      <c r="A226">
        <v>8000</v>
      </c>
      <c r="B226" t="s">
        <v>398</v>
      </c>
      <c r="C226" s="203"/>
      <c r="D226" s="203"/>
      <c r="E226" s="2"/>
      <c r="F226" s="2"/>
      <c r="G226" s="2"/>
      <c r="H226" s="2"/>
      <c r="I226" s="2"/>
      <c r="J226">
        <v>0</v>
      </c>
    </row>
    <row r="227" spans="1:10" x14ac:dyDescent="0.25">
      <c r="A227">
        <v>8001</v>
      </c>
      <c r="B227" t="s">
        <v>399</v>
      </c>
      <c r="C227" s="203">
        <v>50.1</v>
      </c>
      <c r="D227" s="203">
        <v>38.04</v>
      </c>
      <c r="E227" s="2">
        <v>36.96</v>
      </c>
      <c r="F227" s="2">
        <v>21.15</v>
      </c>
      <c r="G227" s="2">
        <v>13.79</v>
      </c>
      <c r="H227" s="2">
        <v>12.13</v>
      </c>
      <c r="I227" s="2">
        <v>38.94</v>
      </c>
      <c r="J227">
        <v>2</v>
      </c>
    </row>
    <row r="228" spans="1:10" x14ac:dyDescent="0.25">
      <c r="A228">
        <v>9000</v>
      </c>
      <c r="B228" t="s">
        <v>400</v>
      </c>
      <c r="C228" s="203">
        <v>54.5</v>
      </c>
      <c r="D228" s="203">
        <v>0</v>
      </c>
      <c r="E228" s="2">
        <v>51.68</v>
      </c>
      <c r="F228" s="2">
        <v>23.7</v>
      </c>
      <c r="G228" s="2">
        <v>14.85</v>
      </c>
      <c r="H228" s="2">
        <v>0</v>
      </c>
      <c r="I228" s="2">
        <v>20.55</v>
      </c>
      <c r="J228">
        <v>0</v>
      </c>
    </row>
  </sheetData>
  <sheetProtection algorithmName="SHA-512" hashValue="u3xWosQnJG/P/Xa9pXCYbp16ab6nuTczAHAWNaD81JrOcu2LEQbQ0qBCELSWDCAKQOP+w7trHluYBMkNMWnTAQ==" saltValue="WYBPhtoYd+NumtBVxBGO2g==" spinCount="100000" sheet="1" selectLockedCells="1" selectUnlockedCells="1"/>
  <mergeCells count="11">
    <mergeCell ref="H1:R1"/>
    <mergeCell ref="H2:M2"/>
    <mergeCell ref="N2:R2"/>
    <mergeCell ref="S1:AA1"/>
    <mergeCell ref="S2:W2"/>
    <mergeCell ref="X2:AB2"/>
    <mergeCell ref="AR1:AU2"/>
    <mergeCell ref="AE2:AG2"/>
    <mergeCell ref="AH1:AI2"/>
    <mergeCell ref="AJ1:AM2"/>
    <mergeCell ref="AN1:AQ2"/>
  </mergeCells>
  <pageMargins left="0.7" right="0.7" top="0.75" bottom="0.75" header="0.3" footer="0.3"/>
  <tableParts count="10">
    <tablePart r:id="rId1"/>
    <tablePart r:id="rId2"/>
    <tablePart r:id="rId3"/>
    <tablePart r:id="rId4"/>
    <tablePart r:id="rId5"/>
    <tablePart r:id="rId6"/>
    <tablePart r:id="rId7"/>
    <tablePart r:id="rId8"/>
    <tablePart r:id="rId9"/>
    <tablePart r:id="rId10"/>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tint="0.79998168889431442"/>
  </sheetPr>
  <dimension ref="A1:Q301"/>
  <sheetViews>
    <sheetView topLeftCell="A26" workbookViewId="0">
      <selection activeCell="C44" sqref="C44"/>
    </sheetView>
  </sheetViews>
  <sheetFormatPr defaultColWidth="8.85546875" defaultRowHeight="15" x14ac:dyDescent="0.25"/>
  <cols>
    <col min="1" max="1" width="18.140625" style="271" customWidth="1"/>
    <col min="2" max="2" width="20.85546875" style="272" customWidth="1"/>
    <col min="3" max="3" width="51.85546875" style="272" customWidth="1"/>
    <col min="4" max="4" width="7.42578125" style="273" customWidth="1"/>
    <col min="5" max="5" width="11.140625" style="273" customWidth="1"/>
    <col min="6" max="12" width="13.42578125" style="274" customWidth="1"/>
    <col min="13" max="13" width="39" style="273" customWidth="1"/>
  </cols>
  <sheetData>
    <row r="1" spans="1:17" ht="15" customHeight="1" x14ac:dyDescent="0.25">
      <c r="A1" s="607"/>
      <c r="B1" s="608"/>
      <c r="C1" s="245" t="s">
        <v>405</v>
      </c>
      <c r="D1" s="611" t="s">
        <v>406</v>
      </c>
      <c r="E1" s="275"/>
      <c r="F1" s="614" t="s">
        <v>407</v>
      </c>
      <c r="G1" s="617" t="s">
        <v>408</v>
      </c>
      <c r="H1" s="620" t="s">
        <v>409</v>
      </c>
      <c r="I1" s="614" t="s">
        <v>829</v>
      </c>
      <c r="J1" s="617" t="s">
        <v>830</v>
      </c>
      <c r="K1" s="620" t="s">
        <v>1112</v>
      </c>
      <c r="L1" s="620" t="s">
        <v>833</v>
      </c>
      <c r="M1" s="246"/>
    </row>
    <row r="2" spans="1:17" ht="38.25" customHeight="1" x14ac:dyDescent="0.25">
      <c r="A2" s="609"/>
      <c r="B2" s="610"/>
      <c r="C2" s="247" t="s">
        <v>410</v>
      </c>
      <c r="D2" s="612"/>
      <c r="E2" s="276"/>
      <c r="F2" s="615"/>
      <c r="G2" s="618"/>
      <c r="H2" s="621"/>
      <c r="I2" s="615"/>
      <c r="J2" s="618"/>
      <c r="K2" s="621"/>
      <c r="L2" s="621"/>
      <c r="M2" s="248"/>
    </row>
    <row r="3" spans="1:17" x14ac:dyDescent="0.25">
      <c r="A3" s="609"/>
      <c r="B3" s="610"/>
      <c r="C3" s="249" t="s">
        <v>411</v>
      </c>
      <c r="D3" s="612"/>
      <c r="E3" s="276"/>
      <c r="F3" s="615"/>
      <c r="G3" s="618"/>
      <c r="H3" s="621"/>
      <c r="I3" s="615"/>
      <c r="J3" s="618"/>
      <c r="K3" s="621"/>
      <c r="L3" s="621"/>
      <c r="M3" s="250"/>
    </row>
    <row r="4" spans="1:17" x14ac:dyDescent="0.25">
      <c r="A4" s="609"/>
      <c r="B4" s="610"/>
      <c r="C4" s="249" t="s">
        <v>412</v>
      </c>
      <c r="D4" s="612"/>
      <c r="E4" s="276"/>
      <c r="F4" s="615"/>
      <c r="G4" s="618"/>
      <c r="H4" s="621"/>
      <c r="I4" s="615"/>
      <c r="J4" s="618"/>
      <c r="K4" s="621"/>
      <c r="L4" s="621"/>
      <c r="M4" s="250"/>
    </row>
    <row r="5" spans="1:17" x14ac:dyDescent="0.25">
      <c r="A5" s="251"/>
      <c r="B5" s="252"/>
      <c r="C5" s="249" t="s">
        <v>413</v>
      </c>
      <c r="D5" s="612"/>
      <c r="E5" s="276"/>
      <c r="F5" s="615"/>
      <c r="G5" s="618"/>
      <c r="H5" s="621"/>
      <c r="I5" s="615"/>
      <c r="J5" s="618"/>
      <c r="K5" s="621"/>
      <c r="L5" s="621"/>
      <c r="M5" s="250"/>
    </row>
    <row r="6" spans="1:17" ht="56.25" customHeight="1" thickBot="1" x14ac:dyDescent="0.3">
      <c r="A6" s="253" t="s">
        <v>16</v>
      </c>
      <c r="B6" s="254" t="s">
        <v>89</v>
      </c>
      <c r="C6" s="255" t="s">
        <v>414</v>
      </c>
      <c r="D6" s="613"/>
      <c r="E6" s="277"/>
      <c r="F6" s="616"/>
      <c r="G6" s="619"/>
      <c r="H6" s="622"/>
      <c r="I6" s="616"/>
      <c r="J6" s="619"/>
      <c r="K6" s="622"/>
      <c r="L6" s="622"/>
      <c r="M6" s="256" t="s">
        <v>415</v>
      </c>
    </row>
    <row r="7" spans="1:17" x14ac:dyDescent="0.25">
      <c r="A7" s="623" t="s">
        <v>416</v>
      </c>
      <c r="B7" s="625" t="s">
        <v>417</v>
      </c>
      <c r="C7" s="257" t="s">
        <v>418</v>
      </c>
      <c r="D7" s="258" t="s">
        <v>419</v>
      </c>
      <c r="E7" s="258" t="e">
        <f>VLOOKUP(C7,#REF!,3,0)</f>
        <v>#REF!</v>
      </c>
      <c r="F7" s="259">
        <v>2.6</v>
      </c>
      <c r="G7" s="260">
        <v>3.7</v>
      </c>
      <c r="H7" s="261">
        <v>0.24</v>
      </c>
      <c r="I7" s="367" t="e">
        <f>_xlfn.IFNA($E7*F7,0)</f>
        <v>#REF!</v>
      </c>
      <c r="J7" s="367" t="e">
        <f t="shared" ref="J7:K7" si="0">_xlfn.IFNA($E7*G7,0)</f>
        <v>#REF!</v>
      </c>
      <c r="K7" s="367" t="e">
        <f t="shared" si="0"/>
        <v>#REF!</v>
      </c>
      <c r="L7" s="278"/>
      <c r="M7" s="262" t="s">
        <v>420</v>
      </c>
      <c r="O7">
        <v>2.6</v>
      </c>
      <c r="P7">
        <v>3.7</v>
      </c>
      <c r="Q7">
        <v>0.24</v>
      </c>
    </row>
    <row r="8" spans="1:17" x14ac:dyDescent="0.25">
      <c r="A8" s="627"/>
      <c r="B8" s="625"/>
      <c r="C8" s="257" t="s">
        <v>421</v>
      </c>
      <c r="D8" s="258" t="s">
        <v>422</v>
      </c>
      <c r="E8" s="258" t="e">
        <f>VLOOKUP(C8,#REF!,3,0)</f>
        <v>#REF!</v>
      </c>
      <c r="F8" s="259">
        <v>24.3</v>
      </c>
      <c r="G8" s="260">
        <v>34.200000000000003</v>
      </c>
      <c r="H8" s="261">
        <v>2.2000000000000002</v>
      </c>
      <c r="I8" s="367" t="e">
        <f t="shared" ref="I8:I47" si="1">_xlfn.IFNA($E8*F8,0)</f>
        <v>#REF!</v>
      </c>
      <c r="J8" s="367" t="e">
        <f t="shared" ref="J8:J47" si="2">_xlfn.IFNA($E8*G8,0)</f>
        <v>#REF!</v>
      </c>
      <c r="K8" s="367" t="e">
        <f t="shared" ref="K8:K47" si="3">_xlfn.IFNA($E8*H8,0)</f>
        <v>#REF!</v>
      </c>
      <c r="L8" s="278"/>
      <c r="M8" s="262" t="s">
        <v>420</v>
      </c>
      <c r="O8">
        <v>24.3</v>
      </c>
      <c r="P8">
        <v>34.200000000000003</v>
      </c>
      <c r="Q8">
        <v>2.2000000000000002</v>
      </c>
    </row>
    <row r="9" spans="1:17" x14ac:dyDescent="0.25">
      <c r="A9" s="627"/>
      <c r="B9" s="625"/>
      <c r="C9" s="257" t="s">
        <v>423</v>
      </c>
      <c r="D9" s="258" t="s">
        <v>422</v>
      </c>
      <c r="E9" s="258" t="e">
        <f>VLOOKUP(C9,#REF!,3,0)</f>
        <v>#REF!</v>
      </c>
      <c r="F9" s="259">
        <v>29.6</v>
      </c>
      <c r="G9" s="260">
        <v>41.6</v>
      </c>
      <c r="H9" s="261">
        <v>2.7</v>
      </c>
      <c r="I9" s="367" t="e">
        <f t="shared" si="1"/>
        <v>#REF!</v>
      </c>
      <c r="J9" s="367" t="e">
        <f t="shared" si="2"/>
        <v>#REF!</v>
      </c>
      <c r="K9" s="367" t="e">
        <f t="shared" si="3"/>
        <v>#REF!</v>
      </c>
      <c r="L9" s="278"/>
      <c r="M9" s="262" t="s">
        <v>420</v>
      </c>
      <c r="O9">
        <v>29.6</v>
      </c>
      <c r="P9">
        <v>41.6</v>
      </c>
      <c r="Q9">
        <v>2.7</v>
      </c>
    </row>
    <row r="10" spans="1:17" x14ac:dyDescent="0.25">
      <c r="A10" s="627"/>
      <c r="B10" s="625"/>
      <c r="C10" s="257" t="s">
        <v>424</v>
      </c>
      <c r="D10" s="258" t="s">
        <v>422</v>
      </c>
      <c r="E10" s="258" t="e">
        <f>VLOOKUP(C10,#REF!,3,0)</f>
        <v>#REF!</v>
      </c>
      <c r="F10" s="259">
        <v>35.200000000000003</v>
      </c>
      <c r="G10" s="260">
        <v>49.4</v>
      </c>
      <c r="H10" s="261">
        <v>3.2</v>
      </c>
      <c r="I10" s="367" t="e">
        <f t="shared" si="1"/>
        <v>#REF!</v>
      </c>
      <c r="J10" s="367" t="e">
        <f t="shared" si="2"/>
        <v>#REF!</v>
      </c>
      <c r="K10" s="367" t="e">
        <f t="shared" si="3"/>
        <v>#REF!</v>
      </c>
      <c r="L10" s="278"/>
      <c r="M10" s="262" t="s">
        <v>420</v>
      </c>
      <c r="O10">
        <v>35.200000000000003</v>
      </c>
      <c r="P10">
        <v>49.4</v>
      </c>
      <c r="Q10">
        <v>3.2</v>
      </c>
    </row>
    <row r="11" spans="1:17" x14ac:dyDescent="0.25">
      <c r="A11" s="627"/>
      <c r="B11" s="625" t="s">
        <v>425</v>
      </c>
      <c r="C11" s="257" t="s">
        <v>426</v>
      </c>
      <c r="D11" s="258" t="s">
        <v>419</v>
      </c>
      <c r="E11" s="258" t="e">
        <f>VLOOKUP(C11,#REF!,3,0)</f>
        <v>#REF!</v>
      </c>
      <c r="F11" s="259">
        <v>3.9</v>
      </c>
      <c r="G11" s="260">
        <v>3.7</v>
      </c>
      <c r="H11" s="261">
        <v>0.35</v>
      </c>
      <c r="I11" s="367" t="e">
        <f t="shared" si="1"/>
        <v>#REF!</v>
      </c>
      <c r="J11" s="367" t="e">
        <f t="shared" si="2"/>
        <v>#REF!</v>
      </c>
      <c r="K11" s="367" t="e">
        <f t="shared" si="3"/>
        <v>#REF!</v>
      </c>
      <c r="L11" s="278"/>
      <c r="M11" s="262" t="s">
        <v>427</v>
      </c>
      <c r="O11">
        <v>3.9</v>
      </c>
      <c r="P11">
        <v>3.7</v>
      </c>
      <c r="Q11">
        <v>0.35</v>
      </c>
    </row>
    <row r="12" spans="1:17" x14ac:dyDescent="0.25">
      <c r="A12" s="627"/>
      <c r="B12" s="625"/>
      <c r="C12" s="257" t="s">
        <v>428</v>
      </c>
      <c r="D12" s="258" t="s">
        <v>419</v>
      </c>
      <c r="E12" s="258" t="e">
        <f>VLOOKUP(C12,#REF!,3,0)</f>
        <v>#REF!</v>
      </c>
      <c r="F12" s="259">
        <v>11.8</v>
      </c>
      <c r="G12" s="260">
        <v>7.8</v>
      </c>
      <c r="H12" s="261">
        <v>1.3</v>
      </c>
      <c r="I12" s="367" t="e">
        <f t="shared" si="1"/>
        <v>#REF!</v>
      </c>
      <c r="J12" s="367" t="e">
        <f t="shared" si="2"/>
        <v>#REF!</v>
      </c>
      <c r="K12" s="367" t="e">
        <f t="shared" si="3"/>
        <v>#REF!</v>
      </c>
      <c r="L12" s="278"/>
      <c r="M12" s="262" t="s">
        <v>429</v>
      </c>
      <c r="O12">
        <v>11.8</v>
      </c>
      <c r="P12">
        <v>7.8</v>
      </c>
      <c r="Q12">
        <v>1.3</v>
      </c>
    </row>
    <row r="13" spans="1:17" x14ac:dyDescent="0.25">
      <c r="A13" s="627"/>
      <c r="B13" s="625" t="s">
        <v>430</v>
      </c>
      <c r="C13" s="257" t="s">
        <v>431</v>
      </c>
      <c r="D13" s="258" t="s">
        <v>419</v>
      </c>
      <c r="E13" s="258" t="e">
        <f>VLOOKUP(C13,#REF!,3,0)</f>
        <v>#REF!</v>
      </c>
      <c r="F13" s="259">
        <v>8.5</v>
      </c>
      <c r="G13" s="260">
        <v>8.4</v>
      </c>
      <c r="H13" s="261">
        <v>0.71</v>
      </c>
      <c r="I13" s="367" t="e">
        <f t="shared" si="1"/>
        <v>#REF!</v>
      </c>
      <c r="J13" s="367" t="e">
        <f t="shared" si="2"/>
        <v>#REF!</v>
      </c>
      <c r="K13" s="367" t="e">
        <f t="shared" si="3"/>
        <v>#REF!</v>
      </c>
      <c r="L13" s="278"/>
      <c r="M13" s="262" t="s">
        <v>432</v>
      </c>
      <c r="O13">
        <v>8.5</v>
      </c>
      <c r="P13">
        <v>8.4</v>
      </c>
      <c r="Q13">
        <v>0.71</v>
      </c>
    </row>
    <row r="14" spans="1:17" x14ac:dyDescent="0.25">
      <c r="A14" s="627"/>
      <c r="B14" s="625"/>
      <c r="C14" s="257" t="s">
        <v>433</v>
      </c>
      <c r="D14" s="258" t="s">
        <v>422</v>
      </c>
      <c r="E14" s="258" t="e">
        <f>VLOOKUP(C14,#REF!,3,0)</f>
        <v>#REF!</v>
      </c>
      <c r="F14" s="259">
        <v>56.4</v>
      </c>
      <c r="G14" s="260">
        <v>55.4</v>
      </c>
      <c r="H14" s="261">
        <v>4.7</v>
      </c>
      <c r="I14" s="367" t="e">
        <f t="shared" si="1"/>
        <v>#REF!</v>
      </c>
      <c r="J14" s="367" t="e">
        <f t="shared" si="2"/>
        <v>#REF!</v>
      </c>
      <c r="K14" s="367" t="e">
        <f t="shared" si="3"/>
        <v>#REF!</v>
      </c>
      <c r="L14" s="278"/>
      <c r="M14" s="262" t="s">
        <v>432</v>
      </c>
      <c r="O14">
        <v>56.4</v>
      </c>
      <c r="P14">
        <v>55.4</v>
      </c>
      <c r="Q14">
        <v>4.7</v>
      </c>
    </row>
    <row r="15" spans="1:17" x14ac:dyDescent="0.25">
      <c r="A15" s="627"/>
      <c r="B15" s="625"/>
      <c r="C15" s="257" t="s">
        <v>434</v>
      </c>
      <c r="D15" s="258" t="s">
        <v>422</v>
      </c>
      <c r="E15" s="258" t="e">
        <f>VLOOKUP(C15,#REF!,3,0)</f>
        <v>#REF!</v>
      </c>
      <c r="F15" s="259">
        <v>84.5</v>
      </c>
      <c r="G15" s="260">
        <v>83</v>
      </c>
      <c r="H15" s="261">
        <v>7</v>
      </c>
      <c r="I15" s="367" t="e">
        <f t="shared" si="1"/>
        <v>#REF!</v>
      </c>
      <c r="J15" s="367" t="e">
        <f t="shared" si="2"/>
        <v>#REF!</v>
      </c>
      <c r="K15" s="367" t="e">
        <f t="shared" si="3"/>
        <v>#REF!</v>
      </c>
      <c r="L15" s="278"/>
      <c r="M15" s="262" t="s">
        <v>432</v>
      </c>
      <c r="O15">
        <v>84.5</v>
      </c>
      <c r="P15">
        <v>83</v>
      </c>
      <c r="Q15">
        <v>7</v>
      </c>
    </row>
    <row r="16" spans="1:17" x14ac:dyDescent="0.25">
      <c r="A16" s="627"/>
      <c r="B16" s="625"/>
      <c r="C16" s="257" t="s">
        <v>435</v>
      </c>
      <c r="D16" s="258" t="s">
        <v>422</v>
      </c>
      <c r="E16" s="258" t="e">
        <f>VLOOKUP(C16,#REF!,3,0)</f>
        <v>#REF!</v>
      </c>
      <c r="F16" s="259">
        <v>113</v>
      </c>
      <c r="G16" s="260">
        <v>111</v>
      </c>
      <c r="H16" s="261">
        <v>9.4</v>
      </c>
      <c r="I16" s="367" t="e">
        <f t="shared" si="1"/>
        <v>#REF!</v>
      </c>
      <c r="J16" s="367" t="e">
        <f t="shared" si="2"/>
        <v>#REF!</v>
      </c>
      <c r="K16" s="367" t="e">
        <f t="shared" si="3"/>
        <v>#REF!</v>
      </c>
      <c r="L16" s="278"/>
      <c r="M16" s="262" t="s">
        <v>432</v>
      </c>
      <c r="O16">
        <v>113</v>
      </c>
      <c r="P16">
        <v>111</v>
      </c>
      <c r="Q16">
        <v>9.4</v>
      </c>
    </row>
    <row r="17" spans="1:17" x14ac:dyDescent="0.25">
      <c r="A17" s="627"/>
      <c r="B17" s="625"/>
      <c r="C17" s="257" t="s">
        <v>436</v>
      </c>
      <c r="D17" s="258" t="s">
        <v>437</v>
      </c>
      <c r="E17" s="258" t="e">
        <f>VLOOKUP(C17,#REF!,3,0)</f>
        <v>#REF!</v>
      </c>
      <c r="F17" s="259">
        <v>2404</v>
      </c>
      <c r="G17" s="260">
        <v>4154</v>
      </c>
      <c r="H17" s="261">
        <v>328</v>
      </c>
      <c r="I17" s="367" t="e">
        <f t="shared" si="1"/>
        <v>#REF!</v>
      </c>
      <c r="J17" s="367" t="e">
        <f t="shared" si="2"/>
        <v>#REF!</v>
      </c>
      <c r="K17" s="367" t="e">
        <f t="shared" si="3"/>
        <v>#REF!</v>
      </c>
      <c r="L17" s="278"/>
      <c r="M17" s="262" t="s">
        <v>438</v>
      </c>
      <c r="O17">
        <v>2404</v>
      </c>
      <c r="P17">
        <v>4154</v>
      </c>
      <c r="Q17">
        <v>328</v>
      </c>
    </row>
    <row r="18" spans="1:17" x14ac:dyDescent="0.25">
      <c r="A18" s="627"/>
      <c r="B18" s="625"/>
      <c r="C18" s="257" t="s">
        <v>439</v>
      </c>
      <c r="D18" s="258" t="s">
        <v>437</v>
      </c>
      <c r="E18" s="258" t="e">
        <f>VLOOKUP(C18,#REF!,3,0)</f>
        <v>#REF!</v>
      </c>
      <c r="F18" s="263">
        <v>2026</v>
      </c>
      <c r="G18" s="260">
        <v>4011</v>
      </c>
      <c r="H18" s="261">
        <v>251</v>
      </c>
      <c r="I18" s="367" t="e">
        <f t="shared" si="1"/>
        <v>#REF!</v>
      </c>
      <c r="J18" s="367" t="e">
        <f t="shared" si="2"/>
        <v>#REF!</v>
      </c>
      <c r="K18" s="367" t="e">
        <f t="shared" si="3"/>
        <v>#REF!</v>
      </c>
      <c r="L18" s="278"/>
      <c r="M18" s="262" t="s">
        <v>438</v>
      </c>
      <c r="O18">
        <v>2026</v>
      </c>
      <c r="P18">
        <v>4011</v>
      </c>
      <c r="Q18">
        <v>251</v>
      </c>
    </row>
    <row r="19" spans="1:17" x14ac:dyDescent="0.25">
      <c r="A19" s="627"/>
      <c r="B19" s="625"/>
      <c r="C19" s="257" t="s">
        <v>440</v>
      </c>
      <c r="D19" s="258" t="s">
        <v>437</v>
      </c>
      <c r="E19" s="258" t="e">
        <f>VLOOKUP(C19,#REF!,3,0)</f>
        <v>#REF!</v>
      </c>
      <c r="F19" s="263">
        <v>2186</v>
      </c>
      <c r="G19" s="260">
        <v>4034</v>
      </c>
      <c r="H19" s="261">
        <v>263</v>
      </c>
      <c r="I19" s="367" t="e">
        <f t="shared" si="1"/>
        <v>#REF!</v>
      </c>
      <c r="J19" s="367" t="e">
        <f t="shared" si="2"/>
        <v>#REF!</v>
      </c>
      <c r="K19" s="367" t="e">
        <f t="shared" si="3"/>
        <v>#REF!</v>
      </c>
      <c r="L19" s="278"/>
      <c r="M19" s="262" t="s">
        <v>438</v>
      </c>
      <c r="O19">
        <v>2186</v>
      </c>
      <c r="P19">
        <v>4034</v>
      </c>
      <c r="Q19">
        <v>263</v>
      </c>
    </row>
    <row r="20" spans="1:17" x14ac:dyDescent="0.25">
      <c r="A20" s="627"/>
      <c r="B20" s="625"/>
      <c r="C20" s="257" t="s">
        <v>441</v>
      </c>
      <c r="D20" s="258" t="s">
        <v>437</v>
      </c>
      <c r="E20" s="258" t="e">
        <f>VLOOKUP(C20,#REF!,3,0)</f>
        <v>#REF!</v>
      </c>
      <c r="F20" s="263">
        <v>2581</v>
      </c>
      <c r="G20" s="260">
        <v>4196</v>
      </c>
      <c r="H20" s="261">
        <v>361</v>
      </c>
      <c r="I20" s="367" t="e">
        <f t="shared" si="1"/>
        <v>#REF!</v>
      </c>
      <c r="J20" s="367" t="e">
        <f t="shared" si="2"/>
        <v>#REF!</v>
      </c>
      <c r="K20" s="367" t="e">
        <f t="shared" si="3"/>
        <v>#REF!</v>
      </c>
      <c r="L20" s="278"/>
      <c r="M20" s="262" t="s">
        <v>442</v>
      </c>
      <c r="O20">
        <v>2581</v>
      </c>
      <c r="P20">
        <v>4196</v>
      </c>
      <c r="Q20">
        <v>361</v>
      </c>
    </row>
    <row r="21" spans="1:17" x14ac:dyDescent="0.25">
      <c r="A21" s="627"/>
      <c r="B21" s="625"/>
      <c r="C21" s="257" t="s">
        <v>443</v>
      </c>
      <c r="D21" s="258" t="s">
        <v>437</v>
      </c>
      <c r="E21" s="258" t="e">
        <f>VLOOKUP(C21,#REF!,3,0)</f>
        <v>#REF!</v>
      </c>
      <c r="F21" s="263">
        <v>2241</v>
      </c>
      <c r="G21" s="260">
        <v>4028</v>
      </c>
      <c r="H21" s="261">
        <v>277</v>
      </c>
      <c r="I21" s="367" t="e">
        <f t="shared" si="1"/>
        <v>#REF!</v>
      </c>
      <c r="J21" s="367" t="e">
        <f t="shared" si="2"/>
        <v>#REF!</v>
      </c>
      <c r="K21" s="367" t="e">
        <f t="shared" si="3"/>
        <v>#REF!</v>
      </c>
      <c r="L21" s="278"/>
      <c r="M21" s="262" t="s">
        <v>442</v>
      </c>
      <c r="O21">
        <v>2241</v>
      </c>
      <c r="P21">
        <v>4028</v>
      </c>
      <c r="Q21">
        <v>277</v>
      </c>
    </row>
    <row r="22" spans="1:17" x14ac:dyDescent="0.25">
      <c r="A22" s="627"/>
      <c r="B22" s="625"/>
      <c r="C22" s="257" t="s">
        <v>444</v>
      </c>
      <c r="D22" s="258" t="s">
        <v>437</v>
      </c>
      <c r="E22" s="258" t="e">
        <f>VLOOKUP(C22,#REF!,3,0)</f>
        <v>#REF!</v>
      </c>
      <c r="F22" s="263">
        <v>2441</v>
      </c>
      <c r="G22" s="260">
        <v>4105</v>
      </c>
      <c r="H22" s="261">
        <v>293</v>
      </c>
      <c r="I22" s="367" t="e">
        <f t="shared" si="1"/>
        <v>#REF!</v>
      </c>
      <c r="J22" s="367" t="e">
        <f t="shared" si="2"/>
        <v>#REF!</v>
      </c>
      <c r="K22" s="367" t="e">
        <f t="shared" si="3"/>
        <v>#REF!</v>
      </c>
      <c r="L22" s="278"/>
      <c r="M22" s="262" t="s">
        <v>442</v>
      </c>
      <c r="O22">
        <v>2441</v>
      </c>
      <c r="P22">
        <v>4105</v>
      </c>
      <c r="Q22">
        <v>293</v>
      </c>
    </row>
    <row r="23" spans="1:17" x14ac:dyDescent="0.25">
      <c r="A23" s="627"/>
      <c r="B23" s="625"/>
      <c r="C23" s="257" t="s">
        <v>445</v>
      </c>
      <c r="D23" s="258" t="s">
        <v>437</v>
      </c>
      <c r="E23" s="258" t="e">
        <f>VLOOKUP(C23,#REF!,3,0)</f>
        <v>#REF!</v>
      </c>
      <c r="F23" s="263">
        <v>3015</v>
      </c>
      <c r="G23" s="260">
        <v>4300</v>
      </c>
      <c r="H23" s="261">
        <v>416</v>
      </c>
      <c r="I23" s="367" t="e">
        <f t="shared" si="1"/>
        <v>#REF!</v>
      </c>
      <c r="J23" s="367" t="e">
        <f t="shared" si="2"/>
        <v>#REF!</v>
      </c>
      <c r="K23" s="367" t="e">
        <f t="shared" si="3"/>
        <v>#REF!</v>
      </c>
      <c r="L23" s="278"/>
      <c r="M23" s="262" t="s">
        <v>446</v>
      </c>
      <c r="O23">
        <v>3015</v>
      </c>
      <c r="P23">
        <v>4300</v>
      </c>
      <c r="Q23">
        <v>416</v>
      </c>
    </row>
    <row r="24" spans="1:17" x14ac:dyDescent="0.25">
      <c r="A24" s="627"/>
      <c r="B24" s="625"/>
      <c r="C24" s="257" t="s">
        <v>447</v>
      </c>
      <c r="D24" s="258" t="s">
        <v>437</v>
      </c>
      <c r="E24" s="258" t="e">
        <f>VLOOKUP(C24,#REF!,3,0)</f>
        <v>#REF!</v>
      </c>
      <c r="F24" s="263">
        <v>2484</v>
      </c>
      <c r="G24" s="260">
        <v>4066</v>
      </c>
      <c r="H24" s="261">
        <v>314</v>
      </c>
      <c r="I24" s="367" t="e">
        <f t="shared" si="1"/>
        <v>#REF!</v>
      </c>
      <c r="J24" s="367" t="e">
        <f t="shared" si="2"/>
        <v>#REF!</v>
      </c>
      <c r="K24" s="367" t="e">
        <f t="shared" si="3"/>
        <v>#REF!</v>
      </c>
      <c r="L24" s="278"/>
      <c r="M24" s="262" t="s">
        <v>446</v>
      </c>
      <c r="O24">
        <v>2484</v>
      </c>
      <c r="P24">
        <v>4066</v>
      </c>
      <c r="Q24">
        <v>314</v>
      </c>
    </row>
    <row r="25" spans="1:17" x14ac:dyDescent="0.25">
      <c r="A25" s="627"/>
      <c r="B25" s="625"/>
      <c r="C25" s="257" t="s">
        <v>448</v>
      </c>
      <c r="D25" s="258" t="s">
        <v>437</v>
      </c>
      <c r="E25" s="258" t="e">
        <f>VLOOKUP(C25,#REF!,3,0)</f>
        <v>#REF!</v>
      </c>
      <c r="F25" s="263">
        <v>2704</v>
      </c>
      <c r="G25" s="260">
        <v>4103</v>
      </c>
      <c r="H25" s="261">
        <v>331</v>
      </c>
      <c r="I25" s="367" t="e">
        <f t="shared" si="1"/>
        <v>#REF!</v>
      </c>
      <c r="J25" s="367" t="e">
        <f t="shared" si="2"/>
        <v>#REF!</v>
      </c>
      <c r="K25" s="367" t="e">
        <f t="shared" si="3"/>
        <v>#REF!</v>
      </c>
      <c r="L25" s="278"/>
      <c r="M25" s="262" t="s">
        <v>446</v>
      </c>
      <c r="O25">
        <v>2704</v>
      </c>
      <c r="P25">
        <v>4103</v>
      </c>
      <c r="Q25">
        <v>331</v>
      </c>
    </row>
    <row r="26" spans="1:17" x14ac:dyDescent="0.25">
      <c r="A26" s="627"/>
      <c r="B26" s="625"/>
      <c r="C26" s="257" t="s">
        <v>449</v>
      </c>
      <c r="D26" s="258" t="s">
        <v>437</v>
      </c>
      <c r="E26" s="258" t="e">
        <f>VLOOKUP(C26,#REF!,3,0)</f>
        <v>#REF!</v>
      </c>
      <c r="F26" s="263">
        <v>3476</v>
      </c>
      <c r="G26" s="260">
        <v>4355</v>
      </c>
      <c r="H26" s="261">
        <v>497</v>
      </c>
      <c r="I26" s="367" t="e">
        <f t="shared" si="1"/>
        <v>#REF!</v>
      </c>
      <c r="J26" s="367" t="e">
        <f t="shared" si="2"/>
        <v>#REF!</v>
      </c>
      <c r="K26" s="367" t="e">
        <f t="shared" si="3"/>
        <v>#REF!</v>
      </c>
      <c r="L26" s="278"/>
      <c r="M26" s="262" t="s">
        <v>450</v>
      </c>
      <c r="O26">
        <v>3476</v>
      </c>
      <c r="P26">
        <v>4355</v>
      </c>
      <c r="Q26">
        <v>497</v>
      </c>
    </row>
    <row r="27" spans="1:17" x14ac:dyDescent="0.25">
      <c r="A27" s="627"/>
      <c r="B27" s="625"/>
      <c r="C27" s="257" t="s">
        <v>451</v>
      </c>
      <c r="D27" s="258" t="s">
        <v>437</v>
      </c>
      <c r="E27" s="258" t="e">
        <f>VLOOKUP(C27,#REF!,3,0)</f>
        <v>#REF!</v>
      </c>
      <c r="F27" s="263">
        <v>2854</v>
      </c>
      <c r="G27" s="260">
        <v>4075</v>
      </c>
      <c r="H27" s="261">
        <v>373</v>
      </c>
      <c r="I27" s="367" t="e">
        <f t="shared" si="1"/>
        <v>#REF!</v>
      </c>
      <c r="J27" s="367" t="e">
        <f t="shared" si="2"/>
        <v>#REF!</v>
      </c>
      <c r="K27" s="367" t="e">
        <f t="shared" si="3"/>
        <v>#REF!</v>
      </c>
      <c r="L27" s="278"/>
      <c r="M27" s="262" t="s">
        <v>450</v>
      </c>
      <c r="O27">
        <v>2854</v>
      </c>
      <c r="P27">
        <v>4075</v>
      </c>
      <c r="Q27">
        <v>373</v>
      </c>
    </row>
    <row r="28" spans="1:17" x14ac:dyDescent="0.25">
      <c r="A28" s="627"/>
      <c r="B28" s="625"/>
      <c r="C28" s="257" t="s">
        <v>452</v>
      </c>
      <c r="D28" s="258" t="s">
        <v>437</v>
      </c>
      <c r="E28" s="258" t="e">
        <f>VLOOKUP(C28,#REF!,3,0)</f>
        <v>#REF!</v>
      </c>
      <c r="F28" s="263">
        <v>3106</v>
      </c>
      <c r="G28" s="260">
        <v>4120</v>
      </c>
      <c r="H28" s="261">
        <v>392</v>
      </c>
      <c r="I28" s="367" t="e">
        <f t="shared" si="1"/>
        <v>#REF!</v>
      </c>
      <c r="J28" s="367" t="e">
        <f t="shared" si="2"/>
        <v>#REF!</v>
      </c>
      <c r="K28" s="367" t="e">
        <f t="shared" si="3"/>
        <v>#REF!</v>
      </c>
      <c r="L28" s="278"/>
      <c r="M28" s="262" t="s">
        <v>450</v>
      </c>
      <c r="O28">
        <v>3106</v>
      </c>
      <c r="P28">
        <v>4120</v>
      </c>
      <c r="Q28">
        <v>392</v>
      </c>
    </row>
    <row r="29" spans="1:17" x14ac:dyDescent="0.25">
      <c r="A29" s="627"/>
      <c r="B29" s="625"/>
      <c r="C29" s="257" t="s">
        <v>453</v>
      </c>
      <c r="D29" s="258" t="s">
        <v>437</v>
      </c>
      <c r="E29" s="258" t="e">
        <f>VLOOKUP(C29,#REF!,3,0)</f>
        <v>#REF!</v>
      </c>
      <c r="F29" s="263">
        <v>3998</v>
      </c>
      <c r="G29" s="260">
        <v>4365</v>
      </c>
      <c r="H29" s="261">
        <v>600</v>
      </c>
      <c r="I29" s="367" t="e">
        <f t="shared" si="1"/>
        <v>#REF!</v>
      </c>
      <c r="J29" s="367" t="e">
        <f t="shared" si="2"/>
        <v>#REF!</v>
      </c>
      <c r="K29" s="367" t="e">
        <f t="shared" si="3"/>
        <v>#REF!</v>
      </c>
      <c r="L29" s="278"/>
      <c r="M29" s="262" t="s">
        <v>454</v>
      </c>
      <c r="O29">
        <v>3998</v>
      </c>
      <c r="P29">
        <v>4365</v>
      </c>
      <c r="Q29">
        <v>600</v>
      </c>
    </row>
    <row r="30" spans="1:17" x14ac:dyDescent="0.25">
      <c r="A30" s="627"/>
      <c r="B30" s="625"/>
      <c r="C30" s="257" t="s">
        <v>455</v>
      </c>
      <c r="D30" s="258" t="s">
        <v>437</v>
      </c>
      <c r="E30" s="258" t="e">
        <f>VLOOKUP(C30,#REF!,3,0)</f>
        <v>#REF!</v>
      </c>
      <c r="F30" s="263">
        <v>3634</v>
      </c>
      <c r="G30" s="260">
        <v>4246</v>
      </c>
      <c r="H30" s="261">
        <v>467</v>
      </c>
      <c r="I30" s="367" t="e">
        <f t="shared" si="1"/>
        <v>#REF!</v>
      </c>
      <c r="J30" s="367" t="e">
        <f t="shared" si="2"/>
        <v>#REF!</v>
      </c>
      <c r="K30" s="367" t="e">
        <f t="shared" si="3"/>
        <v>#REF!</v>
      </c>
      <c r="L30" s="278"/>
      <c r="M30" s="262" t="s">
        <v>454</v>
      </c>
      <c r="O30">
        <v>3634</v>
      </c>
      <c r="P30">
        <v>4246</v>
      </c>
      <c r="Q30">
        <v>467</v>
      </c>
    </row>
    <row r="31" spans="1:17" x14ac:dyDescent="0.25">
      <c r="A31" s="627"/>
      <c r="B31" s="625"/>
      <c r="C31" s="257" t="s">
        <v>456</v>
      </c>
      <c r="D31" s="258" t="s">
        <v>437</v>
      </c>
      <c r="E31" s="258" t="e">
        <f>VLOOKUP(C31,#REF!,3,0)</f>
        <v>#REF!</v>
      </c>
      <c r="F31" s="263">
        <v>3958</v>
      </c>
      <c r="G31" s="260">
        <v>4325</v>
      </c>
      <c r="H31" s="261">
        <v>492</v>
      </c>
      <c r="I31" s="367" t="e">
        <f t="shared" si="1"/>
        <v>#REF!</v>
      </c>
      <c r="J31" s="367" t="e">
        <f t="shared" si="2"/>
        <v>#REF!</v>
      </c>
      <c r="K31" s="367" t="e">
        <f t="shared" si="3"/>
        <v>#REF!</v>
      </c>
      <c r="L31" s="278"/>
      <c r="M31" s="262" t="s">
        <v>454</v>
      </c>
      <c r="O31">
        <v>3958</v>
      </c>
      <c r="P31">
        <v>4325</v>
      </c>
      <c r="Q31">
        <v>492</v>
      </c>
    </row>
    <row r="32" spans="1:17" x14ac:dyDescent="0.25">
      <c r="A32" s="627"/>
      <c r="B32" s="625" t="s">
        <v>457</v>
      </c>
      <c r="C32" s="257" t="s">
        <v>458</v>
      </c>
      <c r="D32" s="258" t="s">
        <v>419</v>
      </c>
      <c r="E32" s="258" t="e">
        <f>VLOOKUP(C32,#REF!,3,0)</f>
        <v>#REF!</v>
      </c>
      <c r="F32" s="263">
        <v>26</v>
      </c>
      <c r="G32" s="260">
        <v>31.3</v>
      </c>
      <c r="H32" s="261">
        <v>2.2000000000000002</v>
      </c>
      <c r="I32" s="367" t="e">
        <f t="shared" si="1"/>
        <v>#REF!</v>
      </c>
      <c r="J32" s="367" t="e">
        <f t="shared" si="2"/>
        <v>#REF!</v>
      </c>
      <c r="K32" s="367" t="e">
        <f t="shared" si="3"/>
        <v>#REF!</v>
      </c>
      <c r="L32" s="278"/>
      <c r="M32" s="262" t="s">
        <v>459</v>
      </c>
      <c r="O32">
        <v>26</v>
      </c>
      <c r="P32">
        <v>31.3</v>
      </c>
      <c r="Q32">
        <v>2.2000000000000002</v>
      </c>
    </row>
    <row r="33" spans="1:17" x14ac:dyDescent="0.25">
      <c r="A33" s="627"/>
      <c r="B33" s="626"/>
      <c r="C33" s="257" t="s">
        <v>460</v>
      </c>
      <c r="D33" s="258" t="s">
        <v>461</v>
      </c>
      <c r="E33" s="258" t="e">
        <f>VLOOKUP(C33,#REF!,3,0)</f>
        <v>#REF!</v>
      </c>
      <c r="F33" s="263">
        <v>549</v>
      </c>
      <c r="G33" s="260">
        <v>660</v>
      </c>
      <c r="H33" s="261">
        <v>46.9</v>
      </c>
      <c r="I33" s="367" t="e">
        <f t="shared" si="1"/>
        <v>#REF!</v>
      </c>
      <c r="J33" s="367" t="e">
        <f t="shared" si="2"/>
        <v>#REF!</v>
      </c>
      <c r="K33" s="367" t="e">
        <f t="shared" si="3"/>
        <v>#REF!</v>
      </c>
      <c r="L33" s="278"/>
      <c r="M33" s="262" t="s">
        <v>459</v>
      </c>
      <c r="O33">
        <v>549</v>
      </c>
      <c r="P33">
        <v>660</v>
      </c>
      <c r="Q33">
        <v>46.9</v>
      </c>
    </row>
    <row r="34" spans="1:17" x14ac:dyDescent="0.25">
      <c r="A34" s="627"/>
      <c r="B34" s="626"/>
      <c r="C34" s="257" t="s">
        <v>462</v>
      </c>
      <c r="D34" s="258" t="s">
        <v>461</v>
      </c>
      <c r="E34" s="258" t="e">
        <f>VLOOKUP(C34,#REF!,3,0)</f>
        <v>#REF!</v>
      </c>
      <c r="F34" s="263">
        <v>549</v>
      </c>
      <c r="G34" s="260">
        <v>660</v>
      </c>
      <c r="H34" s="261">
        <v>46.9</v>
      </c>
      <c r="I34" s="367" t="e">
        <f t="shared" si="1"/>
        <v>#REF!</v>
      </c>
      <c r="J34" s="367" t="e">
        <f t="shared" si="2"/>
        <v>#REF!</v>
      </c>
      <c r="K34" s="367" t="e">
        <f t="shared" si="3"/>
        <v>#REF!</v>
      </c>
      <c r="L34" s="278"/>
      <c r="M34" s="262" t="s">
        <v>459</v>
      </c>
      <c r="O34">
        <v>549</v>
      </c>
      <c r="P34">
        <v>660</v>
      </c>
      <c r="Q34">
        <v>46.9</v>
      </c>
    </row>
    <row r="35" spans="1:17" x14ac:dyDescent="0.25">
      <c r="A35" s="627"/>
      <c r="B35" s="626"/>
      <c r="C35" s="257" t="s">
        <v>463</v>
      </c>
      <c r="D35" s="258" t="s">
        <v>461</v>
      </c>
      <c r="E35" s="258" t="e">
        <f>VLOOKUP(C35,#REF!,3,0)</f>
        <v>#REF!</v>
      </c>
      <c r="F35" s="263">
        <v>304</v>
      </c>
      <c r="G35" s="260">
        <v>365</v>
      </c>
      <c r="H35" s="261">
        <v>26</v>
      </c>
      <c r="I35" s="367" t="e">
        <f t="shared" si="1"/>
        <v>#REF!</v>
      </c>
      <c r="J35" s="367" t="e">
        <f t="shared" si="2"/>
        <v>#REF!</v>
      </c>
      <c r="K35" s="367" t="e">
        <f t="shared" si="3"/>
        <v>#REF!</v>
      </c>
      <c r="L35" s="278"/>
      <c r="M35" s="262" t="s">
        <v>459</v>
      </c>
      <c r="O35">
        <v>304</v>
      </c>
      <c r="P35">
        <v>365</v>
      </c>
      <c r="Q35">
        <v>26</v>
      </c>
    </row>
    <row r="36" spans="1:17" x14ac:dyDescent="0.25">
      <c r="A36" s="627"/>
      <c r="B36" s="626"/>
      <c r="C36" s="257" t="s">
        <v>464</v>
      </c>
      <c r="D36" s="258" t="s">
        <v>461</v>
      </c>
      <c r="E36" s="258" t="e">
        <f>VLOOKUP(C36,#REF!,3,0)</f>
        <v>#REF!</v>
      </c>
      <c r="F36" s="263">
        <v>284</v>
      </c>
      <c r="G36" s="260">
        <v>341</v>
      </c>
      <c r="H36" s="261">
        <v>24.2</v>
      </c>
      <c r="I36" s="367" t="e">
        <f t="shared" si="1"/>
        <v>#REF!</v>
      </c>
      <c r="J36" s="367" t="e">
        <f t="shared" si="2"/>
        <v>#REF!</v>
      </c>
      <c r="K36" s="367" t="e">
        <f t="shared" si="3"/>
        <v>#REF!</v>
      </c>
      <c r="L36" s="278"/>
      <c r="M36" s="262" t="s">
        <v>459</v>
      </c>
      <c r="O36">
        <v>284</v>
      </c>
      <c r="P36">
        <v>341</v>
      </c>
      <c r="Q36">
        <v>24.2</v>
      </c>
    </row>
    <row r="37" spans="1:17" x14ac:dyDescent="0.25">
      <c r="A37" s="627"/>
      <c r="B37" s="626"/>
      <c r="C37" s="257" t="s">
        <v>465</v>
      </c>
      <c r="D37" s="258" t="s">
        <v>461</v>
      </c>
      <c r="E37" s="258" t="e">
        <f>VLOOKUP(C37,#REF!,3,0)</f>
        <v>#REF!</v>
      </c>
      <c r="F37" s="263">
        <v>294</v>
      </c>
      <c r="G37" s="260">
        <v>354</v>
      </c>
      <c r="H37" s="261">
        <v>25.2</v>
      </c>
      <c r="I37" s="367" t="e">
        <f t="shared" si="1"/>
        <v>#REF!</v>
      </c>
      <c r="J37" s="367" t="e">
        <f t="shared" si="2"/>
        <v>#REF!</v>
      </c>
      <c r="K37" s="367" t="e">
        <f t="shared" si="3"/>
        <v>#REF!</v>
      </c>
      <c r="L37" s="278"/>
      <c r="M37" s="262" t="s">
        <v>459</v>
      </c>
      <c r="O37">
        <v>294</v>
      </c>
      <c r="P37">
        <v>354</v>
      </c>
      <c r="Q37">
        <v>25.2</v>
      </c>
    </row>
    <row r="38" spans="1:17" x14ac:dyDescent="0.25">
      <c r="A38" s="627"/>
      <c r="B38" s="626"/>
      <c r="C38" s="257" t="s">
        <v>466</v>
      </c>
      <c r="D38" s="258" t="s">
        <v>419</v>
      </c>
      <c r="E38" s="258" t="e">
        <f>VLOOKUP(C38,#REF!,3,0)</f>
        <v>#REF!</v>
      </c>
      <c r="F38" s="263">
        <v>18.3</v>
      </c>
      <c r="G38" s="260">
        <v>19.8</v>
      </c>
      <c r="H38" s="261">
        <v>1.6</v>
      </c>
      <c r="I38" s="367" t="e">
        <f t="shared" si="1"/>
        <v>#REF!</v>
      </c>
      <c r="J38" s="367" t="e">
        <f t="shared" si="2"/>
        <v>#REF!</v>
      </c>
      <c r="K38" s="367" t="e">
        <f t="shared" si="3"/>
        <v>#REF!</v>
      </c>
      <c r="L38" s="278"/>
      <c r="M38" s="262" t="s">
        <v>467</v>
      </c>
      <c r="O38">
        <v>18.3</v>
      </c>
      <c r="P38">
        <v>19.8</v>
      </c>
      <c r="Q38">
        <v>1.6</v>
      </c>
    </row>
    <row r="39" spans="1:17" x14ac:dyDescent="0.25">
      <c r="A39" s="627"/>
      <c r="B39" s="626"/>
      <c r="C39" s="257" t="s">
        <v>468</v>
      </c>
      <c r="D39" s="258" t="s">
        <v>461</v>
      </c>
      <c r="E39" s="258" t="e">
        <f>VLOOKUP(C39,#REF!,3,0)</f>
        <v>#REF!</v>
      </c>
      <c r="F39" s="263">
        <v>119</v>
      </c>
      <c r="G39" s="260">
        <v>129</v>
      </c>
      <c r="H39" s="261">
        <v>10.199999999999999</v>
      </c>
      <c r="I39" s="367" t="e">
        <f t="shared" si="1"/>
        <v>#REF!</v>
      </c>
      <c r="J39" s="367" t="e">
        <f t="shared" si="2"/>
        <v>#REF!</v>
      </c>
      <c r="K39" s="367" t="e">
        <f t="shared" si="3"/>
        <v>#REF!</v>
      </c>
      <c r="L39" s="278"/>
      <c r="M39" s="262" t="s">
        <v>467</v>
      </c>
      <c r="O39">
        <v>119</v>
      </c>
      <c r="P39">
        <v>129</v>
      </c>
      <c r="Q39">
        <v>10.199999999999999</v>
      </c>
    </row>
    <row r="40" spans="1:17" x14ac:dyDescent="0.25">
      <c r="A40" s="627"/>
      <c r="B40" s="626"/>
      <c r="C40" s="257" t="s">
        <v>469</v>
      </c>
      <c r="D40" s="258" t="s">
        <v>461</v>
      </c>
      <c r="E40" s="258" t="e">
        <f>VLOOKUP(C40,#REF!,3,0)</f>
        <v>#REF!</v>
      </c>
      <c r="F40" s="263">
        <v>159</v>
      </c>
      <c r="G40" s="260">
        <v>172</v>
      </c>
      <c r="H40" s="261">
        <v>13.5</v>
      </c>
      <c r="I40" s="367" t="e">
        <f t="shared" si="1"/>
        <v>#REF!</v>
      </c>
      <c r="J40" s="367" t="e">
        <f t="shared" si="2"/>
        <v>#REF!</v>
      </c>
      <c r="K40" s="367" t="e">
        <f t="shared" si="3"/>
        <v>#REF!</v>
      </c>
      <c r="L40" s="278"/>
      <c r="M40" s="262" t="s">
        <v>467</v>
      </c>
      <c r="O40">
        <v>159</v>
      </c>
      <c r="P40">
        <v>172</v>
      </c>
      <c r="Q40">
        <v>13.5</v>
      </c>
    </row>
    <row r="41" spans="1:17" x14ac:dyDescent="0.25">
      <c r="A41" s="627"/>
      <c r="B41" s="626"/>
      <c r="C41" s="257" t="s">
        <v>470</v>
      </c>
      <c r="D41" s="258" t="s">
        <v>461</v>
      </c>
      <c r="E41" s="258" t="e">
        <f>VLOOKUP(C41,#REF!,3,0)</f>
        <v>#REF!</v>
      </c>
      <c r="F41" s="263">
        <v>198</v>
      </c>
      <c r="G41" s="260">
        <v>214</v>
      </c>
      <c r="H41" s="261">
        <v>16.899999999999999</v>
      </c>
      <c r="I41" s="367" t="e">
        <f t="shared" si="1"/>
        <v>#REF!</v>
      </c>
      <c r="J41" s="367" t="e">
        <f t="shared" si="2"/>
        <v>#REF!</v>
      </c>
      <c r="K41" s="367" t="e">
        <f t="shared" si="3"/>
        <v>#REF!</v>
      </c>
      <c r="L41" s="278"/>
      <c r="M41" s="262" t="s">
        <v>467</v>
      </c>
      <c r="O41">
        <v>198</v>
      </c>
      <c r="P41">
        <v>214</v>
      </c>
      <c r="Q41">
        <v>16.899999999999999</v>
      </c>
    </row>
    <row r="42" spans="1:17" x14ac:dyDescent="0.25">
      <c r="A42" s="627"/>
      <c r="B42" s="626"/>
      <c r="C42" s="257" t="s">
        <v>471</v>
      </c>
      <c r="D42" s="258" t="s">
        <v>461</v>
      </c>
      <c r="E42" s="258" t="e">
        <f>VLOOKUP(C42,#REF!,3,0)</f>
        <v>#REF!</v>
      </c>
      <c r="F42" s="263">
        <v>475</v>
      </c>
      <c r="G42" s="260">
        <v>514</v>
      </c>
      <c r="H42" s="261">
        <v>40.6</v>
      </c>
      <c r="I42" s="367" t="e">
        <f t="shared" si="1"/>
        <v>#REF!</v>
      </c>
      <c r="J42" s="367" t="e">
        <f t="shared" si="2"/>
        <v>#REF!</v>
      </c>
      <c r="K42" s="367" t="e">
        <f t="shared" si="3"/>
        <v>#REF!</v>
      </c>
      <c r="L42" s="278"/>
      <c r="M42" s="262" t="s">
        <v>467</v>
      </c>
      <c r="O42">
        <v>475</v>
      </c>
      <c r="P42">
        <v>514</v>
      </c>
      <c r="Q42">
        <v>40.6</v>
      </c>
    </row>
    <row r="43" spans="1:17" x14ac:dyDescent="0.25">
      <c r="A43" s="627"/>
      <c r="B43" s="626"/>
      <c r="C43" s="257" t="s">
        <v>472</v>
      </c>
      <c r="D43" s="258" t="s">
        <v>461</v>
      </c>
      <c r="E43" s="258" t="e">
        <f>VLOOKUP(C43,#REF!,3,0)</f>
        <v>#REF!</v>
      </c>
      <c r="F43" s="263">
        <v>634</v>
      </c>
      <c r="G43" s="260">
        <v>686</v>
      </c>
      <c r="H43" s="261">
        <v>54.2</v>
      </c>
      <c r="I43" s="367" t="e">
        <f t="shared" si="1"/>
        <v>#REF!</v>
      </c>
      <c r="J43" s="367" t="e">
        <f t="shared" si="2"/>
        <v>#REF!</v>
      </c>
      <c r="K43" s="367" t="e">
        <f t="shared" si="3"/>
        <v>#REF!</v>
      </c>
      <c r="L43" s="278"/>
      <c r="M43" s="262" t="s">
        <v>467</v>
      </c>
      <c r="O43">
        <v>634</v>
      </c>
      <c r="P43">
        <v>686</v>
      </c>
      <c r="Q43">
        <v>54.2</v>
      </c>
    </row>
    <row r="44" spans="1:17" x14ac:dyDescent="0.25">
      <c r="A44" s="627"/>
      <c r="B44" s="625" t="s">
        <v>473</v>
      </c>
      <c r="C44" s="257" t="s">
        <v>474</v>
      </c>
      <c r="D44" s="258" t="s">
        <v>419</v>
      </c>
      <c r="E44" s="258" t="e">
        <f>VLOOKUP(C44,#REF!,3,0)</f>
        <v>#REF!</v>
      </c>
      <c r="F44" s="263">
        <v>6.5</v>
      </c>
      <c r="G44" s="260">
        <v>6.5</v>
      </c>
      <c r="H44" s="261">
        <v>0.44</v>
      </c>
      <c r="I44" s="367" t="e">
        <f t="shared" si="1"/>
        <v>#REF!</v>
      </c>
      <c r="J44" s="367" t="e">
        <f t="shared" si="2"/>
        <v>#REF!</v>
      </c>
      <c r="K44" s="367" t="e">
        <f t="shared" si="3"/>
        <v>#REF!</v>
      </c>
      <c r="L44" s="278"/>
      <c r="M44" s="262" t="s">
        <v>475</v>
      </c>
      <c r="O44">
        <v>6.5</v>
      </c>
      <c r="P44">
        <v>6.5</v>
      </c>
      <c r="Q44">
        <v>0.44</v>
      </c>
    </row>
    <row r="45" spans="1:17" x14ac:dyDescent="0.25">
      <c r="A45" s="627"/>
      <c r="B45" s="626"/>
      <c r="C45" s="257" t="s">
        <v>476</v>
      </c>
      <c r="D45" s="258" t="s">
        <v>461</v>
      </c>
      <c r="E45" s="258" t="e">
        <f>VLOOKUP(C45,#REF!,3,0)</f>
        <v>#REF!</v>
      </c>
      <c r="F45" s="263">
        <v>86.1</v>
      </c>
      <c r="G45" s="260">
        <v>85.6</v>
      </c>
      <c r="H45" s="261">
        <v>5.8</v>
      </c>
      <c r="I45" s="367" t="e">
        <f t="shared" si="1"/>
        <v>#REF!</v>
      </c>
      <c r="J45" s="367" t="e">
        <f t="shared" si="2"/>
        <v>#REF!</v>
      </c>
      <c r="K45" s="367" t="e">
        <f t="shared" si="3"/>
        <v>#REF!</v>
      </c>
      <c r="L45" s="278"/>
      <c r="M45" s="262" t="s">
        <v>477</v>
      </c>
      <c r="O45">
        <v>86.1</v>
      </c>
      <c r="P45">
        <v>85.6</v>
      </c>
      <c r="Q45">
        <v>5.8</v>
      </c>
    </row>
    <row r="46" spans="1:17" x14ac:dyDescent="0.25">
      <c r="A46" s="627"/>
      <c r="B46" s="626"/>
      <c r="C46" s="257" t="s">
        <v>478</v>
      </c>
      <c r="D46" s="258" t="s">
        <v>461</v>
      </c>
      <c r="E46" s="258" t="e">
        <f>VLOOKUP(C46,#REF!,3,0)</f>
        <v>#REF!</v>
      </c>
      <c r="F46" s="263">
        <v>95.7</v>
      </c>
      <c r="G46" s="260">
        <v>97.9</v>
      </c>
      <c r="H46" s="261">
        <v>6.5</v>
      </c>
      <c r="I46" s="367" t="e">
        <f t="shared" si="1"/>
        <v>#REF!</v>
      </c>
      <c r="J46" s="367" t="e">
        <f t="shared" si="2"/>
        <v>#REF!</v>
      </c>
      <c r="K46" s="367" t="e">
        <f t="shared" si="3"/>
        <v>#REF!</v>
      </c>
      <c r="L46" s="278"/>
      <c r="M46" s="262" t="s">
        <v>477</v>
      </c>
      <c r="O46">
        <v>95.7</v>
      </c>
      <c r="P46">
        <v>97.9</v>
      </c>
      <c r="Q46">
        <v>6.5</v>
      </c>
    </row>
    <row r="47" spans="1:17" x14ac:dyDescent="0.25">
      <c r="A47" s="627"/>
      <c r="B47" s="264" t="s">
        <v>479</v>
      </c>
      <c r="C47" s="257" t="s">
        <v>480</v>
      </c>
      <c r="D47" s="258" t="s">
        <v>419</v>
      </c>
      <c r="E47" s="258" t="e">
        <f>VLOOKUP(C47,#REF!,3,0)</f>
        <v>#REF!</v>
      </c>
      <c r="F47" s="263">
        <v>4.3</v>
      </c>
      <c r="G47" s="260">
        <v>5.7</v>
      </c>
      <c r="H47" s="261">
        <v>0.39</v>
      </c>
      <c r="I47" s="367" t="e">
        <f t="shared" si="1"/>
        <v>#REF!</v>
      </c>
      <c r="J47" s="367" t="e">
        <f t="shared" si="2"/>
        <v>#REF!</v>
      </c>
      <c r="K47" s="367" t="e">
        <f t="shared" si="3"/>
        <v>#REF!</v>
      </c>
      <c r="L47" s="278"/>
      <c r="M47" s="262" t="s">
        <v>481</v>
      </c>
      <c r="O47">
        <v>4.3</v>
      </c>
      <c r="P47">
        <v>5.7</v>
      </c>
      <c r="Q47">
        <v>0.39</v>
      </c>
    </row>
    <row r="48" spans="1:17" x14ac:dyDescent="0.25">
      <c r="A48" s="623" t="s">
        <v>482</v>
      </c>
      <c r="B48" s="625" t="s">
        <v>483</v>
      </c>
      <c r="C48" s="257" t="s">
        <v>484</v>
      </c>
      <c r="D48" s="258" t="s">
        <v>461</v>
      </c>
      <c r="E48" s="258" t="e">
        <f>VLOOKUP(C48,#REF!,3,0)</f>
        <v>#REF!</v>
      </c>
      <c r="F48" s="263">
        <v>1336</v>
      </c>
      <c r="G48" s="260">
        <v>1558</v>
      </c>
      <c r="H48" s="261">
        <v>101</v>
      </c>
      <c r="I48" s="367" t="e">
        <f t="shared" ref="I48:I80" si="4">_xlfn.IFNA($E48*F48,0)</f>
        <v>#REF!</v>
      </c>
      <c r="J48" s="367" t="e">
        <f t="shared" ref="J48:J80" si="5">_xlfn.IFNA($E48*G48,0)</f>
        <v>#REF!</v>
      </c>
      <c r="K48" s="367" t="e">
        <f t="shared" ref="K48:K80" si="6">_xlfn.IFNA($E48*H48,0)</f>
        <v>#REF!</v>
      </c>
      <c r="L48" s="278"/>
      <c r="M48" s="262" t="s">
        <v>485</v>
      </c>
      <c r="O48">
        <v>1336</v>
      </c>
      <c r="P48">
        <v>1558</v>
      </c>
      <c r="Q48">
        <v>101</v>
      </c>
    </row>
    <row r="49" spans="1:17" x14ac:dyDescent="0.25">
      <c r="A49" s="624"/>
      <c r="B49" s="626"/>
      <c r="C49" s="257" t="s">
        <v>486</v>
      </c>
      <c r="D49" s="258" t="s">
        <v>461</v>
      </c>
      <c r="E49" s="258" t="e">
        <f>VLOOKUP(C49,#REF!,3,0)</f>
        <v>#REF!</v>
      </c>
      <c r="F49" s="263">
        <v>1336</v>
      </c>
      <c r="G49" s="260">
        <v>1558</v>
      </c>
      <c r="H49" s="261">
        <v>101</v>
      </c>
      <c r="I49" s="367" t="e">
        <f t="shared" si="4"/>
        <v>#REF!</v>
      </c>
      <c r="J49" s="367" t="e">
        <f t="shared" si="5"/>
        <v>#REF!</v>
      </c>
      <c r="K49" s="367" t="e">
        <f t="shared" si="6"/>
        <v>#REF!</v>
      </c>
      <c r="L49" s="278"/>
      <c r="M49" s="262" t="s">
        <v>485</v>
      </c>
      <c r="O49">
        <v>1336</v>
      </c>
      <c r="P49">
        <v>1558</v>
      </c>
      <c r="Q49">
        <v>101</v>
      </c>
    </row>
    <row r="50" spans="1:17" x14ac:dyDescent="0.25">
      <c r="A50" s="624"/>
      <c r="B50" s="626"/>
      <c r="C50" s="257" t="s">
        <v>487</v>
      </c>
      <c r="D50" s="258" t="s">
        <v>461</v>
      </c>
      <c r="E50" s="258" t="e">
        <f>VLOOKUP(C50,#REF!,3,0)</f>
        <v>#REF!</v>
      </c>
      <c r="F50" s="263">
        <v>1441</v>
      </c>
      <c r="G50" s="260">
        <v>1671</v>
      </c>
      <c r="H50" s="261">
        <v>108</v>
      </c>
      <c r="I50" s="367" t="e">
        <f t="shared" si="4"/>
        <v>#REF!</v>
      </c>
      <c r="J50" s="367" t="e">
        <f t="shared" si="5"/>
        <v>#REF!</v>
      </c>
      <c r="K50" s="367" t="e">
        <f t="shared" si="6"/>
        <v>#REF!</v>
      </c>
      <c r="L50" s="278"/>
      <c r="M50" s="262" t="s">
        <v>485</v>
      </c>
      <c r="O50">
        <v>1441</v>
      </c>
      <c r="P50">
        <v>1671</v>
      </c>
      <c r="Q50">
        <v>108</v>
      </c>
    </row>
    <row r="51" spans="1:17" x14ac:dyDescent="0.25">
      <c r="A51" s="624"/>
      <c r="B51" s="626"/>
      <c r="C51" s="257" t="s">
        <v>488</v>
      </c>
      <c r="D51" s="258" t="s">
        <v>461</v>
      </c>
      <c r="E51" s="258" t="e">
        <f>VLOOKUP(C51,#REF!,3,0)</f>
        <v>#REF!</v>
      </c>
      <c r="F51" s="263">
        <v>1441</v>
      </c>
      <c r="G51" s="260">
        <v>1671</v>
      </c>
      <c r="H51" s="261">
        <v>108</v>
      </c>
      <c r="I51" s="367" t="e">
        <f t="shared" si="4"/>
        <v>#REF!</v>
      </c>
      <c r="J51" s="367" t="e">
        <f t="shared" si="5"/>
        <v>#REF!</v>
      </c>
      <c r="K51" s="367" t="e">
        <f t="shared" si="6"/>
        <v>#REF!</v>
      </c>
      <c r="L51" s="278"/>
      <c r="M51" s="262" t="s">
        <v>485</v>
      </c>
      <c r="O51">
        <v>1441</v>
      </c>
      <c r="P51">
        <v>1671</v>
      </c>
      <c r="Q51">
        <v>108</v>
      </c>
    </row>
    <row r="52" spans="1:17" x14ac:dyDescent="0.25">
      <c r="A52" s="624"/>
      <c r="B52" s="626"/>
      <c r="C52" s="257" t="s">
        <v>483</v>
      </c>
      <c r="D52" s="258" t="s">
        <v>419</v>
      </c>
      <c r="E52" s="258" t="e">
        <f>VLOOKUP(C52,#REF!,3,0)</f>
        <v>#REF!</v>
      </c>
      <c r="F52" s="263">
        <v>28.5</v>
      </c>
      <c r="G52" s="260">
        <v>32.200000000000003</v>
      </c>
      <c r="H52" s="261">
        <v>2</v>
      </c>
      <c r="I52" s="367" t="e">
        <f t="shared" si="4"/>
        <v>#REF!</v>
      </c>
      <c r="J52" s="367" t="e">
        <f t="shared" si="5"/>
        <v>#REF!</v>
      </c>
      <c r="K52" s="367" t="e">
        <f t="shared" si="6"/>
        <v>#REF!</v>
      </c>
      <c r="L52" s="278"/>
      <c r="M52" s="262" t="s">
        <v>489</v>
      </c>
      <c r="O52">
        <v>28.5</v>
      </c>
      <c r="P52">
        <v>32.200000000000003</v>
      </c>
      <c r="Q52">
        <v>2</v>
      </c>
    </row>
    <row r="53" spans="1:17" x14ac:dyDescent="0.25">
      <c r="A53" s="624"/>
      <c r="B53" s="626"/>
      <c r="C53" s="257" t="s">
        <v>490</v>
      </c>
      <c r="D53" s="258" t="s">
        <v>461</v>
      </c>
      <c r="E53" s="258" t="e">
        <f>VLOOKUP(C53,#REF!,3,0)</f>
        <v>#REF!</v>
      </c>
      <c r="F53" s="263">
        <v>222</v>
      </c>
      <c r="G53" s="260">
        <v>251</v>
      </c>
      <c r="H53" s="261">
        <v>15.7</v>
      </c>
      <c r="I53" s="367" t="e">
        <f t="shared" si="4"/>
        <v>#REF!</v>
      </c>
      <c r="J53" s="367" t="e">
        <f t="shared" si="5"/>
        <v>#REF!</v>
      </c>
      <c r="K53" s="367" t="e">
        <f t="shared" si="6"/>
        <v>#REF!</v>
      </c>
      <c r="L53" s="278"/>
      <c r="M53" s="262" t="s">
        <v>489</v>
      </c>
      <c r="O53">
        <v>222</v>
      </c>
      <c r="P53">
        <v>251</v>
      </c>
      <c r="Q53">
        <v>15.7</v>
      </c>
    </row>
    <row r="54" spans="1:17" x14ac:dyDescent="0.25">
      <c r="A54" s="624"/>
      <c r="B54" s="626"/>
      <c r="C54" s="257" t="s">
        <v>491</v>
      </c>
      <c r="D54" s="258" t="s">
        <v>461</v>
      </c>
      <c r="E54" s="258" t="e">
        <f>VLOOKUP(C54,#REF!,3,0)</f>
        <v>#REF!</v>
      </c>
      <c r="F54" s="263">
        <v>296</v>
      </c>
      <c r="G54" s="260">
        <v>335</v>
      </c>
      <c r="H54" s="261">
        <v>21</v>
      </c>
      <c r="I54" s="367" t="e">
        <f t="shared" si="4"/>
        <v>#REF!</v>
      </c>
      <c r="J54" s="367" t="e">
        <f t="shared" si="5"/>
        <v>#REF!</v>
      </c>
      <c r="K54" s="367" t="e">
        <f t="shared" si="6"/>
        <v>#REF!</v>
      </c>
      <c r="L54" s="278"/>
      <c r="M54" s="262" t="s">
        <v>489</v>
      </c>
      <c r="O54">
        <v>296</v>
      </c>
      <c r="P54">
        <v>335</v>
      </c>
      <c r="Q54">
        <v>21</v>
      </c>
    </row>
    <row r="55" spans="1:17" x14ac:dyDescent="0.25">
      <c r="A55" s="624"/>
      <c r="B55" s="626"/>
      <c r="C55" s="257" t="s">
        <v>492</v>
      </c>
      <c r="D55" s="258" t="s">
        <v>461</v>
      </c>
      <c r="E55" s="258" t="e">
        <f>VLOOKUP(C55,#REF!,3,0)</f>
        <v>#REF!</v>
      </c>
      <c r="F55" s="263">
        <v>370</v>
      </c>
      <c r="G55" s="260">
        <v>418</v>
      </c>
      <c r="H55" s="261">
        <v>26.2</v>
      </c>
      <c r="I55" s="367" t="e">
        <f t="shared" si="4"/>
        <v>#REF!</v>
      </c>
      <c r="J55" s="367" t="e">
        <f t="shared" si="5"/>
        <v>#REF!</v>
      </c>
      <c r="K55" s="367" t="e">
        <f t="shared" si="6"/>
        <v>#REF!</v>
      </c>
      <c r="L55" s="278"/>
      <c r="M55" s="262" t="s">
        <v>489</v>
      </c>
      <c r="O55">
        <v>370</v>
      </c>
      <c r="P55">
        <v>418</v>
      </c>
      <c r="Q55">
        <v>26.2</v>
      </c>
    </row>
    <row r="56" spans="1:17" x14ac:dyDescent="0.25">
      <c r="A56" s="624"/>
      <c r="B56" s="626"/>
      <c r="C56" s="257" t="s">
        <v>493</v>
      </c>
      <c r="D56" s="258" t="s">
        <v>461</v>
      </c>
      <c r="E56" s="258" t="e">
        <f>VLOOKUP(C56,#REF!,3,0)</f>
        <v>#REF!</v>
      </c>
      <c r="F56" s="263">
        <v>444</v>
      </c>
      <c r="G56" s="260">
        <v>502</v>
      </c>
      <c r="H56" s="261">
        <v>31.4</v>
      </c>
      <c r="I56" s="367" t="e">
        <f t="shared" si="4"/>
        <v>#REF!</v>
      </c>
      <c r="J56" s="367" t="e">
        <f t="shared" si="5"/>
        <v>#REF!</v>
      </c>
      <c r="K56" s="367" t="e">
        <f t="shared" si="6"/>
        <v>#REF!</v>
      </c>
      <c r="L56" s="278"/>
      <c r="M56" s="262" t="s">
        <v>489</v>
      </c>
      <c r="O56">
        <v>444</v>
      </c>
      <c r="P56">
        <v>502</v>
      </c>
      <c r="Q56">
        <v>31.4</v>
      </c>
    </row>
    <row r="57" spans="1:17" x14ac:dyDescent="0.25">
      <c r="A57" s="624"/>
      <c r="B57" s="626"/>
      <c r="C57" s="257" t="s">
        <v>494</v>
      </c>
      <c r="D57" s="258" t="s">
        <v>461</v>
      </c>
      <c r="E57" s="258" t="e">
        <f>VLOOKUP(C57,#REF!,3,0)</f>
        <v>#REF!</v>
      </c>
      <c r="F57" s="263">
        <v>740</v>
      </c>
      <c r="G57" s="260">
        <v>837</v>
      </c>
      <c r="H57" s="261">
        <v>52.4</v>
      </c>
      <c r="I57" s="367" t="e">
        <f t="shared" si="4"/>
        <v>#REF!</v>
      </c>
      <c r="J57" s="367" t="e">
        <f t="shared" si="5"/>
        <v>#REF!</v>
      </c>
      <c r="K57" s="367" t="e">
        <f t="shared" si="6"/>
        <v>#REF!</v>
      </c>
      <c r="L57" s="278"/>
      <c r="M57" s="262" t="s">
        <v>489</v>
      </c>
      <c r="O57">
        <v>740</v>
      </c>
      <c r="P57">
        <v>837</v>
      </c>
      <c r="Q57">
        <v>52.4</v>
      </c>
    </row>
    <row r="58" spans="1:17" x14ac:dyDescent="0.25">
      <c r="A58" s="624"/>
      <c r="B58" s="626"/>
      <c r="C58" s="257" t="s">
        <v>495</v>
      </c>
      <c r="D58" s="258" t="s">
        <v>461</v>
      </c>
      <c r="E58" s="258" t="e">
        <f>VLOOKUP(C58,#REF!,3,0)</f>
        <v>#REF!</v>
      </c>
      <c r="F58" s="263">
        <v>888</v>
      </c>
      <c r="G58" s="260">
        <v>1004</v>
      </c>
      <c r="H58" s="261">
        <v>62.9</v>
      </c>
      <c r="I58" s="367" t="e">
        <f t="shared" si="4"/>
        <v>#REF!</v>
      </c>
      <c r="J58" s="367" t="e">
        <f t="shared" si="5"/>
        <v>#REF!</v>
      </c>
      <c r="K58" s="367" t="e">
        <f t="shared" si="6"/>
        <v>#REF!</v>
      </c>
      <c r="L58" s="278"/>
      <c r="M58" s="262" t="s">
        <v>489</v>
      </c>
      <c r="O58">
        <v>888</v>
      </c>
      <c r="P58">
        <v>1004</v>
      </c>
      <c r="Q58">
        <v>62.9</v>
      </c>
    </row>
    <row r="59" spans="1:17" x14ac:dyDescent="0.25">
      <c r="A59" s="624"/>
      <c r="B59" s="625" t="s">
        <v>496</v>
      </c>
      <c r="C59" s="257" t="s">
        <v>496</v>
      </c>
      <c r="D59" s="258" t="s">
        <v>419</v>
      </c>
      <c r="E59" s="258" t="e">
        <f>VLOOKUP(C59,#REF!,3,0)</f>
        <v>#REF!</v>
      </c>
      <c r="F59" s="263">
        <v>36.4</v>
      </c>
      <c r="G59" s="260">
        <v>59.7</v>
      </c>
      <c r="H59" s="261">
        <v>2.8</v>
      </c>
      <c r="I59" s="367" t="e">
        <f t="shared" si="4"/>
        <v>#REF!</v>
      </c>
      <c r="J59" s="367" t="e">
        <f t="shared" si="5"/>
        <v>#REF!</v>
      </c>
      <c r="K59" s="367" t="e">
        <f t="shared" si="6"/>
        <v>#REF!</v>
      </c>
      <c r="L59" s="278"/>
      <c r="M59" s="262" t="s">
        <v>497</v>
      </c>
      <c r="O59">
        <v>36.4</v>
      </c>
      <c r="P59">
        <v>59.7</v>
      </c>
      <c r="Q59">
        <v>2.8</v>
      </c>
    </row>
    <row r="60" spans="1:17" x14ac:dyDescent="0.25">
      <c r="A60" s="624"/>
      <c r="B60" s="626"/>
      <c r="C60" s="257" t="s">
        <v>498</v>
      </c>
      <c r="D60" s="258" t="s">
        <v>461</v>
      </c>
      <c r="E60" s="258" t="e">
        <f>VLOOKUP(C60,#REF!,3,0)</f>
        <v>#REF!</v>
      </c>
      <c r="F60" s="263">
        <v>604</v>
      </c>
      <c r="G60" s="260">
        <v>991</v>
      </c>
      <c r="H60" s="261">
        <v>46.8</v>
      </c>
      <c r="I60" s="367" t="e">
        <f t="shared" si="4"/>
        <v>#REF!</v>
      </c>
      <c r="J60" s="367" t="e">
        <f t="shared" si="5"/>
        <v>#REF!</v>
      </c>
      <c r="K60" s="367" t="e">
        <f t="shared" si="6"/>
        <v>#REF!</v>
      </c>
      <c r="L60" s="278"/>
      <c r="M60" s="262" t="s">
        <v>497</v>
      </c>
      <c r="O60">
        <v>604</v>
      </c>
      <c r="P60">
        <v>991</v>
      </c>
      <c r="Q60">
        <v>46.8</v>
      </c>
    </row>
    <row r="61" spans="1:17" x14ac:dyDescent="0.25">
      <c r="A61" s="624"/>
      <c r="B61" s="626"/>
      <c r="C61" s="257" t="s">
        <v>499</v>
      </c>
      <c r="D61" s="258" t="s">
        <v>461</v>
      </c>
      <c r="E61" s="258" t="e">
        <f>VLOOKUP(C61,#REF!,3,0)</f>
        <v>#REF!</v>
      </c>
      <c r="F61" s="263">
        <v>794</v>
      </c>
      <c r="G61" s="260">
        <v>1302</v>
      </c>
      <c r="H61" s="261">
        <v>61.4</v>
      </c>
      <c r="I61" s="367" t="e">
        <f t="shared" si="4"/>
        <v>#REF!</v>
      </c>
      <c r="J61" s="367" t="e">
        <f t="shared" si="5"/>
        <v>#REF!</v>
      </c>
      <c r="K61" s="367" t="e">
        <f t="shared" si="6"/>
        <v>#REF!</v>
      </c>
      <c r="L61" s="278"/>
      <c r="M61" s="262" t="s">
        <v>497</v>
      </c>
      <c r="O61">
        <v>794</v>
      </c>
      <c r="P61">
        <v>1302</v>
      </c>
      <c r="Q61">
        <v>61.4</v>
      </c>
    </row>
    <row r="62" spans="1:17" x14ac:dyDescent="0.25">
      <c r="A62" s="624"/>
      <c r="B62" s="626"/>
      <c r="C62" s="257" t="s">
        <v>500</v>
      </c>
      <c r="D62" s="258" t="s">
        <v>461</v>
      </c>
      <c r="E62" s="258" t="e">
        <f>VLOOKUP(C62,#REF!,3,0)</f>
        <v>#REF!</v>
      </c>
      <c r="F62" s="263">
        <v>983</v>
      </c>
      <c r="G62" s="260">
        <v>1613</v>
      </c>
      <c r="H62" s="261">
        <v>76.099999999999994</v>
      </c>
      <c r="I62" s="367" t="e">
        <f t="shared" si="4"/>
        <v>#REF!</v>
      </c>
      <c r="J62" s="367" t="e">
        <f t="shared" si="5"/>
        <v>#REF!</v>
      </c>
      <c r="K62" s="367" t="e">
        <f t="shared" si="6"/>
        <v>#REF!</v>
      </c>
      <c r="L62" s="278"/>
      <c r="M62" s="262" t="s">
        <v>497</v>
      </c>
      <c r="O62">
        <v>983</v>
      </c>
      <c r="P62">
        <v>1613</v>
      </c>
      <c r="Q62">
        <v>76.099999999999994</v>
      </c>
    </row>
    <row r="63" spans="1:17" x14ac:dyDescent="0.25">
      <c r="A63" s="624"/>
      <c r="B63" s="626"/>
      <c r="C63" s="257" t="s">
        <v>501</v>
      </c>
      <c r="D63" s="258" t="s">
        <v>461</v>
      </c>
      <c r="E63" s="258" t="e">
        <f>VLOOKUP(C63,#REF!,3,0)</f>
        <v>#REF!</v>
      </c>
      <c r="F63" s="263">
        <v>1172</v>
      </c>
      <c r="G63" s="260">
        <v>1923</v>
      </c>
      <c r="H63" s="261">
        <v>90.7</v>
      </c>
      <c r="I63" s="367" t="e">
        <f t="shared" si="4"/>
        <v>#REF!</v>
      </c>
      <c r="J63" s="367" t="e">
        <f t="shared" si="5"/>
        <v>#REF!</v>
      </c>
      <c r="K63" s="367" t="e">
        <f t="shared" si="6"/>
        <v>#REF!</v>
      </c>
      <c r="L63" s="278"/>
      <c r="M63" s="262" t="s">
        <v>497</v>
      </c>
      <c r="O63">
        <v>1172</v>
      </c>
      <c r="P63">
        <v>1923</v>
      </c>
      <c r="Q63">
        <v>90.7</v>
      </c>
    </row>
    <row r="64" spans="1:17" x14ac:dyDescent="0.25">
      <c r="A64" s="624"/>
      <c r="B64" s="625" t="s">
        <v>502</v>
      </c>
      <c r="C64" s="257" t="s">
        <v>503</v>
      </c>
      <c r="D64" s="258" t="s">
        <v>461</v>
      </c>
      <c r="E64" s="258" t="e">
        <f>VLOOKUP(C64,#REF!,3,0)</f>
        <v>#REF!</v>
      </c>
      <c r="F64" s="263">
        <v>1536</v>
      </c>
      <c r="G64" s="260">
        <v>1772</v>
      </c>
      <c r="H64" s="261">
        <v>115</v>
      </c>
      <c r="I64" s="367" t="e">
        <f t="shared" si="4"/>
        <v>#REF!</v>
      </c>
      <c r="J64" s="367" t="e">
        <f t="shared" si="5"/>
        <v>#REF!</v>
      </c>
      <c r="K64" s="367" t="e">
        <f t="shared" si="6"/>
        <v>#REF!</v>
      </c>
      <c r="L64" s="278"/>
      <c r="M64" s="262" t="s">
        <v>504</v>
      </c>
      <c r="O64">
        <v>1536</v>
      </c>
      <c r="P64">
        <v>1772</v>
      </c>
      <c r="Q64">
        <v>115</v>
      </c>
    </row>
    <row r="65" spans="1:17" x14ac:dyDescent="0.25">
      <c r="A65" s="624"/>
      <c r="B65" s="626"/>
      <c r="C65" s="257" t="s">
        <v>505</v>
      </c>
      <c r="D65" s="258" t="s">
        <v>461</v>
      </c>
      <c r="E65" s="258" t="e">
        <f>VLOOKUP(C65,#REF!,3,0)</f>
        <v>#REF!</v>
      </c>
      <c r="F65" s="263">
        <v>1536</v>
      </c>
      <c r="G65" s="260">
        <v>1772</v>
      </c>
      <c r="H65" s="261">
        <v>115</v>
      </c>
      <c r="I65" s="367" t="e">
        <f t="shared" si="4"/>
        <v>#REF!</v>
      </c>
      <c r="J65" s="367" t="e">
        <f t="shared" si="5"/>
        <v>#REF!</v>
      </c>
      <c r="K65" s="367" t="e">
        <f t="shared" si="6"/>
        <v>#REF!</v>
      </c>
      <c r="L65" s="278"/>
      <c r="M65" s="262" t="s">
        <v>504</v>
      </c>
      <c r="O65">
        <v>1536</v>
      </c>
      <c r="P65">
        <v>1772</v>
      </c>
      <c r="Q65">
        <v>115</v>
      </c>
    </row>
    <row r="66" spans="1:17" x14ac:dyDescent="0.25">
      <c r="A66" s="624"/>
      <c r="B66" s="626"/>
      <c r="C66" s="257" t="s">
        <v>506</v>
      </c>
      <c r="D66" s="258" t="s">
        <v>461</v>
      </c>
      <c r="E66" s="258" t="e">
        <f>VLOOKUP(C66,#REF!,3,0)</f>
        <v>#REF!</v>
      </c>
      <c r="F66" s="263">
        <v>1635</v>
      </c>
      <c r="G66" s="260">
        <v>1879</v>
      </c>
      <c r="H66" s="261">
        <v>122</v>
      </c>
      <c r="I66" s="367" t="e">
        <f t="shared" si="4"/>
        <v>#REF!</v>
      </c>
      <c r="J66" s="367" t="e">
        <f t="shared" si="5"/>
        <v>#REF!</v>
      </c>
      <c r="K66" s="367" t="e">
        <f t="shared" si="6"/>
        <v>#REF!</v>
      </c>
      <c r="L66" s="278"/>
      <c r="M66" s="262" t="s">
        <v>504</v>
      </c>
      <c r="O66">
        <v>1635</v>
      </c>
      <c r="P66">
        <v>1879</v>
      </c>
      <c r="Q66">
        <v>122</v>
      </c>
    </row>
    <row r="67" spans="1:17" x14ac:dyDescent="0.25">
      <c r="A67" s="624"/>
      <c r="B67" s="626"/>
      <c r="C67" s="257" t="s">
        <v>507</v>
      </c>
      <c r="D67" s="258" t="s">
        <v>461</v>
      </c>
      <c r="E67" s="258" t="e">
        <f>VLOOKUP(C67,#REF!,3,0)</f>
        <v>#REF!</v>
      </c>
      <c r="F67" s="263">
        <v>1635</v>
      </c>
      <c r="G67" s="260">
        <v>1879</v>
      </c>
      <c r="H67" s="261">
        <v>122</v>
      </c>
      <c r="I67" s="367" t="e">
        <f t="shared" si="4"/>
        <v>#REF!</v>
      </c>
      <c r="J67" s="367" t="e">
        <f t="shared" si="5"/>
        <v>#REF!</v>
      </c>
      <c r="K67" s="367" t="e">
        <f t="shared" si="6"/>
        <v>#REF!</v>
      </c>
      <c r="L67" s="278"/>
      <c r="M67" s="262" t="s">
        <v>504</v>
      </c>
      <c r="O67">
        <v>1635</v>
      </c>
      <c r="P67">
        <v>1879</v>
      </c>
      <c r="Q67">
        <v>122</v>
      </c>
    </row>
    <row r="68" spans="1:17" x14ac:dyDescent="0.25">
      <c r="A68" s="624"/>
      <c r="B68" s="626"/>
      <c r="C68" s="257" t="s">
        <v>508</v>
      </c>
      <c r="D68" s="258" t="s">
        <v>461</v>
      </c>
      <c r="E68" s="258" t="e">
        <f>VLOOKUP(C68,#REF!,3,0)</f>
        <v>#REF!</v>
      </c>
      <c r="F68" s="263">
        <v>1729</v>
      </c>
      <c r="G68" s="260">
        <v>1980</v>
      </c>
      <c r="H68" s="261">
        <v>128</v>
      </c>
      <c r="I68" s="367" t="e">
        <f t="shared" si="4"/>
        <v>#REF!</v>
      </c>
      <c r="J68" s="367" t="e">
        <f t="shared" si="5"/>
        <v>#REF!</v>
      </c>
      <c r="K68" s="367" t="e">
        <f t="shared" si="6"/>
        <v>#REF!</v>
      </c>
      <c r="L68" s="278"/>
      <c r="M68" s="262" t="s">
        <v>504</v>
      </c>
      <c r="O68">
        <v>1729</v>
      </c>
      <c r="P68">
        <v>1980</v>
      </c>
      <c r="Q68">
        <v>128</v>
      </c>
    </row>
    <row r="69" spans="1:17" x14ac:dyDescent="0.25">
      <c r="A69" s="624"/>
      <c r="B69" s="626"/>
      <c r="C69" s="257" t="s">
        <v>509</v>
      </c>
      <c r="D69" s="258" t="s">
        <v>461</v>
      </c>
      <c r="E69" s="258" t="e">
        <f>VLOOKUP(C69,#REF!,3,0)</f>
        <v>#REF!</v>
      </c>
      <c r="F69" s="263">
        <v>1729</v>
      </c>
      <c r="G69" s="260">
        <v>1980</v>
      </c>
      <c r="H69" s="261">
        <v>128</v>
      </c>
      <c r="I69" s="367" t="e">
        <f t="shared" si="4"/>
        <v>#REF!</v>
      </c>
      <c r="J69" s="367" t="e">
        <f t="shared" si="5"/>
        <v>#REF!</v>
      </c>
      <c r="K69" s="367" t="e">
        <f t="shared" si="6"/>
        <v>#REF!</v>
      </c>
      <c r="L69" s="278"/>
      <c r="M69" s="262" t="s">
        <v>504</v>
      </c>
      <c r="O69">
        <v>1729</v>
      </c>
      <c r="P69">
        <v>1980</v>
      </c>
      <c r="Q69">
        <v>128</v>
      </c>
    </row>
    <row r="70" spans="1:17" x14ac:dyDescent="0.25">
      <c r="A70" s="624"/>
      <c r="B70" s="626"/>
      <c r="C70" s="257" t="s">
        <v>510</v>
      </c>
      <c r="D70" s="258" t="s">
        <v>461</v>
      </c>
      <c r="E70" s="258" t="e">
        <f>VLOOKUP(C70,#REF!,3,0)</f>
        <v>#REF!</v>
      </c>
      <c r="F70" s="263">
        <v>2254</v>
      </c>
      <c r="G70" s="260">
        <v>2543</v>
      </c>
      <c r="H70" s="261">
        <v>165</v>
      </c>
      <c r="I70" s="367" t="e">
        <f t="shared" si="4"/>
        <v>#REF!</v>
      </c>
      <c r="J70" s="367" t="e">
        <f t="shared" si="5"/>
        <v>#REF!</v>
      </c>
      <c r="K70" s="367" t="e">
        <f t="shared" si="6"/>
        <v>#REF!</v>
      </c>
      <c r="L70" s="278"/>
      <c r="M70" s="262" t="s">
        <v>504</v>
      </c>
      <c r="O70">
        <v>2254</v>
      </c>
      <c r="P70">
        <v>2543</v>
      </c>
      <c r="Q70">
        <v>165</v>
      </c>
    </row>
    <row r="71" spans="1:17" x14ac:dyDescent="0.25">
      <c r="A71" s="624"/>
      <c r="B71" s="626"/>
      <c r="C71" s="257" t="s">
        <v>511</v>
      </c>
      <c r="D71" s="258" t="s">
        <v>461</v>
      </c>
      <c r="E71" s="258" t="e">
        <f>VLOOKUP(C71,#REF!,3,0)</f>
        <v>#REF!</v>
      </c>
      <c r="F71" s="263">
        <v>2779</v>
      </c>
      <c r="G71" s="260">
        <v>3107</v>
      </c>
      <c r="H71" s="261">
        <v>202</v>
      </c>
      <c r="I71" s="367" t="e">
        <f t="shared" si="4"/>
        <v>#REF!</v>
      </c>
      <c r="J71" s="367" t="e">
        <f t="shared" si="5"/>
        <v>#REF!</v>
      </c>
      <c r="K71" s="367" t="e">
        <f t="shared" si="6"/>
        <v>#REF!</v>
      </c>
      <c r="L71" s="278"/>
      <c r="M71" s="262" t="s">
        <v>504</v>
      </c>
      <c r="O71">
        <v>2779</v>
      </c>
      <c r="P71">
        <v>3107</v>
      </c>
      <c r="Q71">
        <v>202</v>
      </c>
    </row>
    <row r="72" spans="1:17" x14ac:dyDescent="0.25">
      <c r="A72" s="624"/>
      <c r="B72" s="626"/>
      <c r="C72" s="257" t="s">
        <v>512</v>
      </c>
      <c r="D72" s="258" t="s">
        <v>461</v>
      </c>
      <c r="E72" s="258" t="e">
        <f>VLOOKUP(C72,#REF!,3,0)</f>
        <v>#REF!</v>
      </c>
      <c r="F72" s="263">
        <v>2254</v>
      </c>
      <c r="G72" s="260">
        <v>2543</v>
      </c>
      <c r="H72" s="261">
        <v>165</v>
      </c>
      <c r="I72" s="367" t="e">
        <f t="shared" si="4"/>
        <v>#REF!</v>
      </c>
      <c r="J72" s="367" t="e">
        <f t="shared" si="5"/>
        <v>#REF!</v>
      </c>
      <c r="K72" s="367" t="e">
        <f t="shared" si="6"/>
        <v>#REF!</v>
      </c>
      <c r="L72" s="278"/>
      <c r="M72" s="262" t="s">
        <v>504</v>
      </c>
      <c r="O72">
        <v>2254</v>
      </c>
      <c r="P72">
        <v>2543</v>
      </c>
      <c r="Q72">
        <v>165</v>
      </c>
    </row>
    <row r="73" spans="1:17" x14ac:dyDescent="0.25">
      <c r="A73" s="624"/>
      <c r="B73" s="626"/>
      <c r="C73" s="257" t="s">
        <v>513</v>
      </c>
      <c r="D73" s="258" t="s">
        <v>461</v>
      </c>
      <c r="E73" s="258" t="e">
        <f>VLOOKUP(C73,#REF!,3,0)</f>
        <v>#REF!</v>
      </c>
      <c r="F73" s="263">
        <v>2779</v>
      </c>
      <c r="G73" s="260">
        <v>3107</v>
      </c>
      <c r="H73" s="261">
        <v>202</v>
      </c>
      <c r="I73" s="367" t="e">
        <f t="shared" si="4"/>
        <v>#REF!</v>
      </c>
      <c r="J73" s="367" t="e">
        <f t="shared" si="5"/>
        <v>#REF!</v>
      </c>
      <c r="K73" s="367" t="e">
        <f t="shared" si="6"/>
        <v>#REF!</v>
      </c>
      <c r="L73" s="278"/>
      <c r="M73" s="262" t="s">
        <v>504</v>
      </c>
      <c r="O73">
        <v>2779</v>
      </c>
      <c r="P73">
        <v>3107</v>
      </c>
      <c r="Q73">
        <v>202</v>
      </c>
    </row>
    <row r="74" spans="1:17" x14ac:dyDescent="0.25">
      <c r="A74" s="624"/>
      <c r="B74" s="626"/>
      <c r="C74" s="257" t="s">
        <v>502</v>
      </c>
      <c r="D74" s="258" t="s">
        <v>419</v>
      </c>
      <c r="E74" s="258" t="e">
        <f>VLOOKUP(C74,#REF!,3,0)</f>
        <v>#REF!</v>
      </c>
      <c r="F74" s="263">
        <v>29.8</v>
      </c>
      <c r="G74" s="260">
        <v>30.2</v>
      </c>
      <c r="H74" s="261">
        <v>2.2000000000000002</v>
      </c>
      <c r="I74" s="367" t="e">
        <f t="shared" si="4"/>
        <v>#REF!</v>
      </c>
      <c r="J74" s="367" t="e">
        <f t="shared" si="5"/>
        <v>#REF!</v>
      </c>
      <c r="K74" s="367" t="e">
        <f t="shared" si="6"/>
        <v>#REF!</v>
      </c>
      <c r="L74" s="278"/>
      <c r="M74" s="262" t="s">
        <v>514</v>
      </c>
      <c r="O74">
        <v>29.8</v>
      </c>
      <c r="P74">
        <v>30.2</v>
      </c>
      <c r="Q74">
        <v>2.2000000000000002</v>
      </c>
    </row>
    <row r="75" spans="1:17" x14ac:dyDescent="0.25">
      <c r="A75" s="624"/>
      <c r="B75" s="626"/>
      <c r="C75" s="257" t="s">
        <v>515</v>
      </c>
      <c r="D75" s="258" t="s">
        <v>461</v>
      </c>
      <c r="E75" s="258" t="e">
        <f>VLOOKUP(C75,#REF!,3,0)</f>
        <v>#REF!</v>
      </c>
      <c r="F75" s="263">
        <v>232</v>
      </c>
      <c r="G75" s="260">
        <v>235</v>
      </c>
      <c r="H75" s="261">
        <v>17.100000000000001</v>
      </c>
      <c r="I75" s="367" t="e">
        <f t="shared" si="4"/>
        <v>#REF!</v>
      </c>
      <c r="J75" s="367" t="e">
        <f t="shared" si="5"/>
        <v>#REF!</v>
      </c>
      <c r="K75" s="367" t="e">
        <f t="shared" si="6"/>
        <v>#REF!</v>
      </c>
      <c r="L75" s="278"/>
      <c r="M75" s="262" t="s">
        <v>514</v>
      </c>
      <c r="O75">
        <v>232</v>
      </c>
      <c r="P75">
        <v>235</v>
      </c>
      <c r="Q75">
        <v>17.100000000000001</v>
      </c>
    </row>
    <row r="76" spans="1:17" x14ac:dyDescent="0.25">
      <c r="A76" s="624"/>
      <c r="B76" s="626"/>
      <c r="C76" s="257" t="s">
        <v>516</v>
      </c>
      <c r="D76" s="258" t="s">
        <v>461</v>
      </c>
      <c r="E76" s="258" t="e">
        <f>VLOOKUP(C76,#REF!,3,0)</f>
        <v>#REF!</v>
      </c>
      <c r="F76" s="263">
        <v>310</v>
      </c>
      <c r="G76" s="260">
        <v>314</v>
      </c>
      <c r="H76" s="261">
        <v>22.8</v>
      </c>
      <c r="I76" s="367" t="e">
        <f t="shared" si="4"/>
        <v>#REF!</v>
      </c>
      <c r="J76" s="367" t="e">
        <f t="shared" si="5"/>
        <v>#REF!</v>
      </c>
      <c r="K76" s="367" t="e">
        <f t="shared" si="6"/>
        <v>#REF!</v>
      </c>
      <c r="L76" s="278"/>
      <c r="M76" s="262" t="s">
        <v>514</v>
      </c>
      <c r="O76">
        <v>310</v>
      </c>
      <c r="P76">
        <v>314</v>
      </c>
      <c r="Q76">
        <v>22.8</v>
      </c>
    </row>
    <row r="77" spans="1:17" x14ac:dyDescent="0.25">
      <c r="A77" s="624"/>
      <c r="B77" s="626"/>
      <c r="C77" s="257" t="s">
        <v>517</v>
      </c>
      <c r="D77" s="258" t="s">
        <v>461</v>
      </c>
      <c r="E77" s="258" t="e">
        <f>VLOOKUP(C77,#REF!,3,0)</f>
        <v>#REF!</v>
      </c>
      <c r="F77" s="263">
        <v>387</v>
      </c>
      <c r="G77" s="260">
        <v>392</v>
      </c>
      <c r="H77" s="261">
        <v>28.5</v>
      </c>
      <c r="I77" s="367" t="e">
        <f t="shared" si="4"/>
        <v>#REF!</v>
      </c>
      <c r="J77" s="367" t="e">
        <f t="shared" si="5"/>
        <v>#REF!</v>
      </c>
      <c r="K77" s="367" t="e">
        <f t="shared" si="6"/>
        <v>#REF!</v>
      </c>
      <c r="L77" s="278"/>
      <c r="M77" s="262" t="s">
        <v>514</v>
      </c>
      <c r="O77">
        <v>387</v>
      </c>
      <c r="P77">
        <v>392</v>
      </c>
      <c r="Q77">
        <v>28.5</v>
      </c>
    </row>
    <row r="78" spans="1:17" x14ac:dyDescent="0.25">
      <c r="A78" s="624"/>
      <c r="B78" s="626"/>
      <c r="C78" s="257" t="s">
        <v>518</v>
      </c>
      <c r="D78" s="258" t="s">
        <v>461</v>
      </c>
      <c r="E78" s="258" t="e">
        <f>VLOOKUP(C78,#REF!,3,0)</f>
        <v>#REF!</v>
      </c>
      <c r="F78" s="263">
        <v>465</v>
      </c>
      <c r="G78" s="260">
        <v>471</v>
      </c>
      <c r="H78" s="261">
        <v>34.200000000000003</v>
      </c>
      <c r="I78" s="367" t="e">
        <f t="shared" si="4"/>
        <v>#REF!</v>
      </c>
      <c r="J78" s="367" t="e">
        <f t="shared" si="5"/>
        <v>#REF!</v>
      </c>
      <c r="K78" s="367" t="e">
        <f t="shared" si="6"/>
        <v>#REF!</v>
      </c>
      <c r="L78" s="278"/>
      <c r="M78" s="262" t="s">
        <v>514</v>
      </c>
      <c r="O78">
        <v>465</v>
      </c>
      <c r="P78">
        <v>471</v>
      </c>
      <c r="Q78">
        <v>34.200000000000003</v>
      </c>
    </row>
    <row r="79" spans="1:17" x14ac:dyDescent="0.25">
      <c r="A79" s="624"/>
      <c r="B79" s="626"/>
      <c r="C79" s="257" t="s">
        <v>519</v>
      </c>
      <c r="D79" s="258" t="s">
        <v>461</v>
      </c>
      <c r="E79" s="258" t="e">
        <f>VLOOKUP(C79,#REF!,3,0)</f>
        <v>#REF!</v>
      </c>
      <c r="F79" s="263">
        <v>775</v>
      </c>
      <c r="G79" s="260">
        <v>785</v>
      </c>
      <c r="H79" s="261">
        <v>56.9</v>
      </c>
      <c r="I79" s="367" t="e">
        <f t="shared" si="4"/>
        <v>#REF!</v>
      </c>
      <c r="J79" s="367" t="e">
        <f t="shared" si="5"/>
        <v>#REF!</v>
      </c>
      <c r="K79" s="367" t="e">
        <f t="shared" si="6"/>
        <v>#REF!</v>
      </c>
      <c r="L79" s="278"/>
      <c r="M79" s="262" t="s">
        <v>514</v>
      </c>
      <c r="O79">
        <v>775</v>
      </c>
      <c r="P79">
        <v>785</v>
      </c>
      <c r="Q79">
        <v>56.9</v>
      </c>
    </row>
    <row r="80" spans="1:17" x14ac:dyDescent="0.25">
      <c r="A80" s="624"/>
      <c r="B80" s="626"/>
      <c r="C80" s="257" t="s">
        <v>520</v>
      </c>
      <c r="D80" s="258" t="s">
        <v>461</v>
      </c>
      <c r="E80" s="258" t="e">
        <f>VLOOKUP(C80,#REF!,3,0)</f>
        <v>#REF!</v>
      </c>
      <c r="F80" s="263">
        <v>929</v>
      </c>
      <c r="G80" s="260">
        <v>942</v>
      </c>
      <c r="H80" s="261">
        <v>68.3</v>
      </c>
      <c r="I80" s="367" t="e">
        <f t="shared" si="4"/>
        <v>#REF!</v>
      </c>
      <c r="J80" s="367" t="e">
        <f t="shared" si="5"/>
        <v>#REF!</v>
      </c>
      <c r="K80" s="367" t="e">
        <f t="shared" si="6"/>
        <v>#REF!</v>
      </c>
      <c r="L80" s="278"/>
      <c r="M80" s="262" t="s">
        <v>514</v>
      </c>
      <c r="O80">
        <v>929</v>
      </c>
      <c r="P80">
        <v>942</v>
      </c>
      <c r="Q80">
        <v>68.3</v>
      </c>
    </row>
    <row r="81" spans="1:17" x14ac:dyDescent="0.25">
      <c r="A81" s="623" t="s">
        <v>521</v>
      </c>
      <c r="B81" s="625" t="s">
        <v>522</v>
      </c>
      <c r="C81" s="257" t="s">
        <v>523</v>
      </c>
      <c r="D81" s="258" t="s">
        <v>419</v>
      </c>
      <c r="E81" s="258" t="e">
        <f>VLOOKUP(C81,#REF!,3,0)</f>
        <v>#REF!</v>
      </c>
      <c r="F81" s="263">
        <v>12.1</v>
      </c>
      <c r="G81" s="260">
        <v>20.5</v>
      </c>
      <c r="H81" s="261">
        <v>0.79</v>
      </c>
      <c r="I81" s="367" t="e">
        <f t="shared" ref="I81:I96" si="7">_xlfn.IFNA($E81*F81,0)</f>
        <v>#REF!</v>
      </c>
      <c r="J81" s="367" t="e">
        <f t="shared" ref="J81:J96" si="8">_xlfn.IFNA($E81*G81,0)</f>
        <v>#REF!</v>
      </c>
      <c r="K81" s="367" t="e">
        <f t="shared" ref="K81:K96" si="9">_xlfn.IFNA($E81*H81,0)</f>
        <v>#REF!</v>
      </c>
      <c r="L81" s="278"/>
      <c r="M81" s="262" t="s">
        <v>524</v>
      </c>
      <c r="O81">
        <v>12.1</v>
      </c>
      <c r="P81">
        <v>20.5</v>
      </c>
      <c r="Q81">
        <v>0.79</v>
      </c>
    </row>
    <row r="82" spans="1:17" x14ac:dyDescent="0.25">
      <c r="A82" s="624"/>
      <c r="B82" s="626"/>
      <c r="C82" s="257" t="s">
        <v>525</v>
      </c>
      <c r="D82" s="258" t="s">
        <v>461</v>
      </c>
      <c r="E82" s="258" t="e">
        <f>VLOOKUP(C82,#REF!,3,0)</f>
        <v>#REF!</v>
      </c>
      <c r="F82" s="263">
        <v>48.3</v>
      </c>
      <c r="G82" s="260">
        <v>82.1</v>
      </c>
      <c r="H82" s="261">
        <v>3.1</v>
      </c>
      <c r="I82" s="367" t="e">
        <f t="shared" si="7"/>
        <v>#REF!</v>
      </c>
      <c r="J82" s="367" t="e">
        <f t="shared" si="8"/>
        <v>#REF!</v>
      </c>
      <c r="K82" s="367" t="e">
        <f t="shared" si="9"/>
        <v>#REF!</v>
      </c>
      <c r="L82" s="278"/>
      <c r="M82" s="262" t="s">
        <v>524</v>
      </c>
      <c r="O82">
        <v>48.3</v>
      </c>
      <c r="P82">
        <v>82.1</v>
      </c>
      <c r="Q82">
        <v>3.1</v>
      </c>
    </row>
    <row r="83" spans="1:17" x14ac:dyDescent="0.25">
      <c r="A83" s="624"/>
      <c r="B83" s="626"/>
      <c r="C83" s="257" t="s">
        <v>526</v>
      </c>
      <c r="D83" s="258" t="s">
        <v>461</v>
      </c>
      <c r="E83" s="258" t="e">
        <f>VLOOKUP(C83,#REF!,3,0)</f>
        <v>#REF!</v>
      </c>
      <c r="F83" s="263">
        <v>60.3</v>
      </c>
      <c r="G83" s="260">
        <v>103</v>
      </c>
      <c r="H83" s="261">
        <v>3.9</v>
      </c>
      <c r="I83" s="367" t="e">
        <f t="shared" si="7"/>
        <v>#REF!</v>
      </c>
      <c r="J83" s="367" t="e">
        <f t="shared" si="8"/>
        <v>#REF!</v>
      </c>
      <c r="K83" s="367" t="e">
        <f t="shared" si="9"/>
        <v>#REF!</v>
      </c>
      <c r="L83" s="278"/>
      <c r="M83" s="262" t="s">
        <v>524</v>
      </c>
      <c r="O83">
        <v>60.3</v>
      </c>
      <c r="P83">
        <v>103</v>
      </c>
      <c r="Q83">
        <v>3.9</v>
      </c>
    </row>
    <row r="84" spans="1:17" x14ac:dyDescent="0.25">
      <c r="A84" s="624"/>
      <c r="B84" s="625" t="s">
        <v>527</v>
      </c>
      <c r="C84" s="257" t="s">
        <v>528</v>
      </c>
      <c r="D84" s="258" t="s">
        <v>461</v>
      </c>
      <c r="E84" s="258" t="e">
        <f>VLOOKUP(C84,#REF!,3,0)</f>
        <v>#REF!</v>
      </c>
      <c r="F84" s="263">
        <v>25.7</v>
      </c>
      <c r="G84" s="260">
        <v>33.799999999999997</v>
      </c>
      <c r="H84" s="261">
        <v>1.9</v>
      </c>
      <c r="I84" s="367" t="e">
        <f t="shared" si="7"/>
        <v>#REF!</v>
      </c>
      <c r="J84" s="367" t="e">
        <f t="shared" si="8"/>
        <v>#REF!</v>
      </c>
      <c r="K84" s="367" t="e">
        <f t="shared" si="9"/>
        <v>#REF!</v>
      </c>
      <c r="L84" s="278"/>
      <c r="M84" s="262" t="s">
        <v>529</v>
      </c>
      <c r="O84">
        <v>25.7</v>
      </c>
      <c r="P84">
        <v>33.799999999999997</v>
      </c>
      <c r="Q84">
        <v>1.9</v>
      </c>
    </row>
    <row r="85" spans="1:17" x14ac:dyDescent="0.25">
      <c r="A85" s="624"/>
      <c r="B85" s="626"/>
      <c r="C85" s="257" t="s">
        <v>530</v>
      </c>
      <c r="D85" s="258" t="s">
        <v>419</v>
      </c>
      <c r="E85" s="258" t="e">
        <f>VLOOKUP(C85,#REF!,3,0)</f>
        <v>#REF!</v>
      </c>
      <c r="F85" s="263">
        <v>57.5</v>
      </c>
      <c r="G85" s="260">
        <v>40.700000000000003</v>
      </c>
      <c r="H85" s="261">
        <v>4</v>
      </c>
      <c r="I85" s="367" t="e">
        <f t="shared" si="7"/>
        <v>#REF!</v>
      </c>
      <c r="J85" s="367" t="e">
        <f t="shared" si="8"/>
        <v>#REF!</v>
      </c>
      <c r="K85" s="367" t="e">
        <f t="shared" si="9"/>
        <v>#REF!</v>
      </c>
      <c r="L85" s="278"/>
      <c r="M85" s="262" t="s">
        <v>531</v>
      </c>
      <c r="O85">
        <v>57.5</v>
      </c>
      <c r="P85">
        <v>40.700000000000003</v>
      </c>
      <c r="Q85">
        <v>4</v>
      </c>
    </row>
    <row r="86" spans="1:17" x14ac:dyDescent="0.25">
      <c r="A86" s="624"/>
      <c r="B86" s="626"/>
      <c r="C86" s="257" t="s">
        <v>532</v>
      </c>
      <c r="D86" s="258" t="s">
        <v>461</v>
      </c>
      <c r="E86" s="258" t="e">
        <f>VLOOKUP(C86,#REF!,3,0)</f>
        <v>#REF!</v>
      </c>
      <c r="F86" s="263">
        <v>115</v>
      </c>
      <c r="G86" s="260">
        <v>81.400000000000006</v>
      </c>
      <c r="H86" s="261">
        <v>8</v>
      </c>
      <c r="I86" s="367" t="e">
        <f t="shared" si="7"/>
        <v>#REF!</v>
      </c>
      <c r="J86" s="367" t="e">
        <f t="shared" si="8"/>
        <v>#REF!</v>
      </c>
      <c r="K86" s="367" t="e">
        <f t="shared" si="9"/>
        <v>#REF!</v>
      </c>
      <c r="L86" s="278"/>
      <c r="M86" s="262" t="s">
        <v>531</v>
      </c>
      <c r="O86">
        <v>115</v>
      </c>
      <c r="P86">
        <v>81.400000000000006</v>
      </c>
      <c r="Q86">
        <v>8</v>
      </c>
    </row>
    <row r="87" spans="1:17" x14ac:dyDescent="0.25">
      <c r="A87" s="624"/>
      <c r="B87" s="626"/>
      <c r="C87" s="257" t="s">
        <v>533</v>
      </c>
      <c r="D87" s="258" t="s">
        <v>461</v>
      </c>
      <c r="E87" s="258" t="e">
        <f>VLOOKUP(C87,#REF!,3,0)</f>
        <v>#REF!</v>
      </c>
      <c r="F87" s="263">
        <v>144</v>
      </c>
      <c r="G87" s="260">
        <v>102</v>
      </c>
      <c r="H87" s="261">
        <v>10.1</v>
      </c>
      <c r="I87" s="367" t="e">
        <f t="shared" si="7"/>
        <v>#REF!</v>
      </c>
      <c r="J87" s="367" t="e">
        <f t="shared" si="8"/>
        <v>#REF!</v>
      </c>
      <c r="K87" s="367" t="e">
        <f t="shared" si="9"/>
        <v>#REF!</v>
      </c>
      <c r="L87" s="278"/>
      <c r="M87" s="262" t="s">
        <v>531</v>
      </c>
      <c r="O87">
        <v>144</v>
      </c>
      <c r="P87">
        <v>102</v>
      </c>
      <c r="Q87">
        <v>10.1</v>
      </c>
    </row>
    <row r="88" spans="1:17" x14ac:dyDescent="0.25">
      <c r="A88" s="624"/>
      <c r="B88" s="626"/>
      <c r="C88" s="257" t="s">
        <v>534</v>
      </c>
      <c r="D88" s="258" t="s">
        <v>419</v>
      </c>
      <c r="E88" s="258" t="e">
        <f>VLOOKUP(C88,#REF!,3,0)</f>
        <v>#REF!</v>
      </c>
      <c r="F88" s="263">
        <v>57.1</v>
      </c>
      <c r="G88" s="260">
        <v>62.2</v>
      </c>
      <c r="H88" s="261">
        <v>3.8</v>
      </c>
      <c r="I88" s="367" t="e">
        <f t="shared" si="7"/>
        <v>#REF!</v>
      </c>
      <c r="J88" s="367" t="e">
        <f t="shared" si="8"/>
        <v>#REF!</v>
      </c>
      <c r="K88" s="367" t="e">
        <f t="shared" si="9"/>
        <v>#REF!</v>
      </c>
      <c r="L88" s="278"/>
      <c r="M88" s="262" t="s">
        <v>535</v>
      </c>
      <c r="O88">
        <v>57.1</v>
      </c>
      <c r="P88">
        <v>62.2</v>
      </c>
      <c r="Q88">
        <v>3.8</v>
      </c>
    </row>
    <row r="89" spans="1:17" x14ac:dyDescent="0.25">
      <c r="A89" s="624"/>
      <c r="B89" s="626"/>
      <c r="C89" s="257" t="s">
        <v>536</v>
      </c>
      <c r="D89" s="258" t="s">
        <v>461</v>
      </c>
      <c r="E89" s="258" t="e">
        <f>VLOOKUP(C89,#REF!,3,0)</f>
        <v>#REF!</v>
      </c>
      <c r="F89" s="263">
        <v>320</v>
      </c>
      <c r="G89" s="260">
        <v>348</v>
      </c>
      <c r="H89" s="261">
        <v>21.1</v>
      </c>
      <c r="I89" s="367" t="e">
        <f t="shared" si="7"/>
        <v>#REF!</v>
      </c>
      <c r="J89" s="367" t="e">
        <f t="shared" si="8"/>
        <v>#REF!</v>
      </c>
      <c r="K89" s="367" t="e">
        <f t="shared" si="9"/>
        <v>#REF!</v>
      </c>
      <c r="L89" s="278"/>
      <c r="M89" s="262" t="s">
        <v>535</v>
      </c>
      <c r="O89">
        <v>320</v>
      </c>
      <c r="P89">
        <v>348</v>
      </c>
      <c r="Q89">
        <v>21.1</v>
      </c>
    </row>
    <row r="90" spans="1:17" x14ac:dyDescent="0.25">
      <c r="A90" s="624"/>
      <c r="B90" s="626"/>
      <c r="C90" s="257" t="s">
        <v>537</v>
      </c>
      <c r="D90" s="258" t="s">
        <v>461</v>
      </c>
      <c r="E90" s="258" t="e">
        <f>VLOOKUP(C90,#REF!,3,0)</f>
        <v>#REF!</v>
      </c>
      <c r="F90" s="263">
        <v>400</v>
      </c>
      <c r="G90" s="260">
        <v>435</v>
      </c>
      <c r="H90" s="261">
        <v>26.4</v>
      </c>
      <c r="I90" s="367" t="e">
        <f t="shared" si="7"/>
        <v>#REF!</v>
      </c>
      <c r="J90" s="367" t="e">
        <f t="shared" si="8"/>
        <v>#REF!</v>
      </c>
      <c r="K90" s="367" t="e">
        <f t="shared" si="9"/>
        <v>#REF!</v>
      </c>
      <c r="L90" s="278"/>
      <c r="M90" s="262" t="s">
        <v>535</v>
      </c>
      <c r="O90">
        <v>400</v>
      </c>
      <c r="P90">
        <v>435</v>
      </c>
      <c r="Q90">
        <v>26.4</v>
      </c>
    </row>
    <row r="91" spans="1:17" x14ac:dyDescent="0.25">
      <c r="A91" s="624"/>
      <c r="B91" s="625" t="s">
        <v>538</v>
      </c>
      <c r="C91" s="257" t="s">
        <v>539</v>
      </c>
      <c r="D91" s="258" t="s">
        <v>419</v>
      </c>
      <c r="E91" s="258" t="e">
        <f>VLOOKUP(C91,#REF!,3,0)</f>
        <v>#REF!</v>
      </c>
      <c r="F91" s="263">
        <v>155</v>
      </c>
      <c r="G91" s="260">
        <v>841</v>
      </c>
      <c r="H91" s="261">
        <v>8</v>
      </c>
      <c r="I91" s="367" t="e">
        <f t="shared" si="7"/>
        <v>#REF!</v>
      </c>
      <c r="J91" s="367" t="e">
        <f t="shared" si="8"/>
        <v>#REF!</v>
      </c>
      <c r="K91" s="367" t="e">
        <f t="shared" si="9"/>
        <v>#REF!</v>
      </c>
      <c r="L91" s="278"/>
      <c r="M91" s="262" t="s">
        <v>540</v>
      </c>
      <c r="O91">
        <v>155</v>
      </c>
      <c r="P91">
        <v>841</v>
      </c>
      <c r="Q91">
        <v>8</v>
      </c>
    </row>
    <row r="92" spans="1:17" x14ac:dyDescent="0.25">
      <c r="A92" s="624"/>
      <c r="B92" s="626"/>
      <c r="C92" s="257" t="s">
        <v>541</v>
      </c>
      <c r="D92" s="258" t="s">
        <v>461</v>
      </c>
      <c r="E92" s="258" t="e">
        <f>VLOOKUP(C92,#REF!,3,0)</f>
        <v>#REF!</v>
      </c>
      <c r="F92" s="263">
        <v>251</v>
      </c>
      <c r="G92" s="260">
        <v>1362</v>
      </c>
      <c r="H92" s="261">
        <v>12.9</v>
      </c>
      <c r="I92" s="367" t="e">
        <f t="shared" si="7"/>
        <v>#REF!</v>
      </c>
      <c r="J92" s="367" t="e">
        <f t="shared" si="8"/>
        <v>#REF!</v>
      </c>
      <c r="K92" s="367" t="e">
        <f t="shared" si="9"/>
        <v>#REF!</v>
      </c>
      <c r="L92" s="278"/>
      <c r="M92" s="262" t="s">
        <v>540</v>
      </c>
      <c r="O92">
        <v>251</v>
      </c>
      <c r="P92">
        <v>1362</v>
      </c>
      <c r="Q92">
        <v>12.9</v>
      </c>
    </row>
    <row r="93" spans="1:17" x14ac:dyDescent="0.25">
      <c r="A93" s="624"/>
      <c r="B93" s="626"/>
      <c r="C93" s="257" t="s">
        <v>542</v>
      </c>
      <c r="D93" s="258" t="s">
        <v>461</v>
      </c>
      <c r="E93" s="258" t="e">
        <f>VLOOKUP(C93,#REF!,3,0)</f>
        <v>#REF!</v>
      </c>
      <c r="F93" s="263">
        <v>314</v>
      </c>
      <c r="G93" s="260">
        <v>1703</v>
      </c>
      <c r="H93" s="261">
        <v>16.2</v>
      </c>
      <c r="I93" s="367" t="e">
        <f t="shared" si="7"/>
        <v>#REF!</v>
      </c>
      <c r="J93" s="367" t="e">
        <f t="shared" si="8"/>
        <v>#REF!</v>
      </c>
      <c r="K93" s="367" t="e">
        <f t="shared" si="9"/>
        <v>#REF!</v>
      </c>
      <c r="L93" s="278"/>
      <c r="M93" s="262" t="s">
        <v>540</v>
      </c>
      <c r="O93">
        <v>314</v>
      </c>
      <c r="P93">
        <v>1703</v>
      </c>
      <c r="Q93">
        <v>16.2</v>
      </c>
    </row>
    <row r="94" spans="1:17" x14ac:dyDescent="0.25">
      <c r="A94" s="624"/>
      <c r="B94" s="625" t="s">
        <v>543</v>
      </c>
      <c r="C94" s="257" t="s">
        <v>544</v>
      </c>
      <c r="D94" s="258" t="s">
        <v>419</v>
      </c>
      <c r="E94" s="258" t="e">
        <f>VLOOKUP(C94,#REF!,3,0)</f>
        <v>#REF!</v>
      </c>
      <c r="F94" s="263">
        <v>293</v>
      </c>
      <c r="G94" s="260">
        <v>690</v>
      </c>
      <c r="H94" s="261">
        <v>17.5</v>
      </c>
      <c r="I94" s="367" t="e">
        <f t="shared" si="7"/>
        <v>#REF!</v>
      </c>
      <c r="J94" s="367" t="e">
        <f t="shared" si="8"/>
        <v>#REF!</v>
      </c>
      <c r="K94" s="367" t="e">
        <f t="shared" si="9"/>
        <v>#REF!</v>
      </c>
      <c r="L94" s="278"/>
      <c r="M94" s="262" t="s">
        <v>545</v>
      </c>
      <c r="O94">
        <v>293</v>
      </c>
      <c r="P94">
        <v>690</v>
      </c>
      <c r="Q94">
        <v>17.5</v>
      </c>
    </row>
    <row r="95" spans="1:17" x14ac:dyDescent="0.25">
      <c r="A95" s="624"/>
      <c r="B95" s="626"/>
      <c r="C95" s="257" t="s">
        <v>546</v>
      </c>
      <c r="D95" s="258" t="s">
        <v>461</v>
      </c>
      <c r="E95" s="258" t="e">
        <f>VLOOKUP(C95,#REF!,3,0)</f>
        <v>#REF!</v>
      </c>
      <c r="F95" s="263">
        <v>387</v>
      </c>
      <c r="G95" s="260">
        <v>911</v>
      </c>
      <c r="H95" s="261">
        <v>23.1</v>
      </c>
      <c r="I95" s="367" t="e">
        <f t="shared" si="7"/>
        <v>#REF!</v>
      </c>
      <c r="J95" s="367" t="e">
        <f t="shared" si="8"/>
        <v>#REF!</v>
      </c>
      <c r="K95" s="367" t="e">
        <f t="shared" si="9"/>
        <v>#REF!</v>
      </c>
      <c r="L95" s="278"/>
      <c r="M95" s="262" t="s">
        <v>545</v>
      </c>
      <c r="O95">
        <v>387</v>
      </c>
      <c r="P95">
        <v>911</v>
      </c>
      <c r="Q95">
        <v>23.1</v>
      </c>
    </row>
    <row r="96" spans="1:17" x14ac:dyDescent="0.25">
      <c r="A96" s="624"/>
      <c r="B96" s="626"/>
      <c r="C96" s="257" t="s">
        <v>547</v>
      </c>
      <c r="D96" s="258" t="s">
        <v>461</v>
      </c>
      <c r="E96" s="258" t="e">
        <f>VLOOKUP(C96,#REF!,3,0)</f>
        <v>#REF!</v>
      </c>
      <c r="F96" s="263">
        <v>484</v>
      </c>
      <c r="G96" s="260">
        <v>1138</v>
      </c>
      <c r="H96" s="261">
        <v>28.8</v>
      </c>
      <c r="I96" s="367" t="e">
        <f t="shared" si="7"/>
        <v>#REF!</v>
      </c>
      <c r="J96" s="367" t="e">
        <f t="shared" si="8"/>
        <v>#REF!</v>
      </c>
      <c r="K96" s="367" t="e">
        <f t="shared" si="9"/>
        <v>#REF!</v>
      </c>
      <c r="L96" s="278"/>
      <c r="M96" s="262" t="s">
        <v>545</v>
      </c>
      <c r="O96">
        <v>484</v>
      </c>
      <c r="P96">
        <v>1138</v>
      </c>
      <c r="Q96">
        <v>28.8</v>
      </c>
    </row>
    <row r="97" spans="1:17" x14ac:dyDescent="0.25">
      <c r="A97" s="623" t="s">
        <v>548</v>
      </c>
      <c r="B97" s="625" t="s">
        <v>549</v>
      </c>
      <c r="C97" s="257" t="s">
        <v>550</v>
      </c>
      <c r="D97" s="258" t="s">
        <v>419</v>
      </c>
      <c r="E97" s="258" t="e">
        <f>VLOOKUP(C97,#REF!,3,0)</f>
        <v>#REF!</v>
      </c>
      <c r="F97" s="263">
        <v>345</v>
      </c>
      <c r="G97" s="260">
        <v>219</v>
      </c>
      <c r="H97" s="261">
        <v>29.6</v>
      </c>
      <c r="I97" s="367" t="e">
        <f t="shared" ref="I97:I117" si="10">_xlfn.IFNA($E97*F97,0)</f>
        <v>#REF!</v>
      </c>
      <c r="J97" s="367" t="e">
        <f t="shared" ref="J97:J117" si="11">_xlfn.IFNA($E97*G97,0)</f>
        <v>#REF!</v>
      </c>
      <c r="K97" s="367" t="e">
        <f t="shared" ref="K97:K117" si="12">_xlfn.IFNA($E97*H97,0)</f>
        <v>#REF!</v>
      </c>
      <c r="L97" s="278"/>
      <c r="M97" s="262" t="s">
        <v>551</v>
      </c>
      <c r="O97">
        <v>345</v>
      </c>
      <c r="P97">
        <v>219</v>
      </c>
      <c r="Q97">
        <v>29.6</v>
      </c>
    </row>
    <row r="98" spans="1:17" x14ac:dyDescent="0.25">
      <c r="A98" s="623"/>
      <c r="B98" s="626"/>
      <c r="C98" s="257" t="s">
        <v>552</v>
      </c>
      <c r="D98" s="258" t="s">
        <v>553</v>
      </c>
      <c r="E98" s="258" t="e">
        <f>VLOOKUP(C98,#REF!,3,0)</f>
        <v>#REF!</v>
      </c>
      <c r="F98" s="263">
        <v>33.700000000000003</v>
      </c>
      <c r="G98" s="260">
        <v>21.3</v>
      </c>
      <c r="H98" s="261">
        <v>2.9</v>
      </c>
      <c r="I98" s="367" t="e">
        <f t="shared" si="10"/>
        <v>#REF!</v>
      </c>
      <c r="J98" s="367" t="e">
        <f t="shared" si="11"/>
        <v>#REF!</v>
      </c>
      <c r="K98" s="367" t="e">
        <f t="shared" si="12"/>
        <v>#REF!</v>
      </c>
      <c r="L98" s="278"/>
      <c r="M98" s="262" t="s">
        <v>551</v>
      </c>
      <c r="O98">
        <v>33.700000000000003</v>
      </c>
      <c r="P98">
        <v>21.3</v>
      </c>
      <c r="Q98">
        <v>2.9</v>
      </c>
    </row>
    <row r="99" spans="1:17" x14ac:dyDescent="0.25">
      <c r="A99" s="623"/>
      <c r="B99" s="626"/>
      <c r="C99" s="257" t="s">
        <v>554</v>
      </c>
      <c r="D99" s="258" t="s">
        <v>553</v>
      </c>
      <c r="E99" s="258" t="e">
        <f>VLOOKUP(C99,#REF!,3,0)</f>
        <v>#REF!</v>
      </c>
      <c r="F99" s="263">
        <v>112</v>
      </c>
      <c r="G99" s="260">
        <v>71.2</v>
      </c>
      <c r="H99" s="261">
        <v>9.6</v>
      </c>
      <c r="I99" s="367" t="e">
        <f t="shared" si="10"/>
        <v>#REF!</v>
      </c>
      <c r="J99" s="367" t="e">
        <f t="shared" si="11"/>
        <v>#REF!</v>
      </c>
      <c r="K99" s="367" t="e">
        <f t="shared" si="12"/>
        <v>#REF!</v>
      </c>
      <c r="L99" s="278"/>
      <c r="M99" s="262" t="s">
        <v>551</v>
      </c>
      <c r="O99">
        <v>112</v>
      </c>
      <c r="P99">
        <v>71.2</v>
      </c>
      <c r="Q99">
        <v>9.6</v>
      </c>
    </row>
    <row r="100" spans="1:17" x14ac:dyDescent="0.25">
      <c r="A100" s="623"/>
      <c r="B100" s="626"/>
      <c r="C100" s="257" t="s">
        <v>555</v>
      </c>
      <c r="D100" s="258" t="s">
        <v>553</v>
      </c>
      <c r="E100" s="258" t="e">
        <f>VLOOKUP(C100,#REF!,3,0)</f>
        <v>#REF!</v>
      </c>
      <c r="F100" s="263">
        <v>562</v>
      </c>
      <c r="G100" s="260">
        <v>356</v>
      </c>
      <c r="H100" s="261">
        <v>48.2</v>
      </c>
      <c r="I100" s="367" t="e">
        <f t="shared" si="10"/>
        <v>#REF!</v>
      </c>
      <c r="J100" s="367" t="e">
        <f t="shared" si="11"/>
        <v>#REF!</v>
      </c>
      <c r="K100" s="367" t="e">
        <f t="shared" si="12"/>
        <v>#REF!</v>
      </c>
      <c r="L100" s="278"/>
      <c r="M100" s="262" t="s">
        <v>551</v>
      </c>
      <c r="O100">
        <v>562</v>
      </c>
      <c r="P100">
        <v>356</v>
      </c>
      <c r="Q100">
        <v>48.2</v>
      </c>
    </row>
    <row r="101" spans="1:17" x14ac:dyDescent="0.25">
      <c r="A101" s="623"/>
      <c r="B101" s="626"/>
      <c r="C101" s="257" t="s">
        <v>556</v>
      </c>
      <c r="D101" s="258" t="s">
        <v>553</v>
      </c>
      <c r="E101" s="258" t="e">
        <f>VLOOKUP(C101,#REF!,3,0)</f>
        <v>#REF!</v>
      </c>
      <c r="F101" s="263">
        <v>188</v>
      </c>
      <c r="G101" s="260">
        <v>119</v>
      </c>
      <c r="H101" s="261">
        <v>16.2</v>
      </c>
      <c r="I101" s="367" t="e">
        <f t="shared" si="10"/>
        <v>#REF!</v>
      </c>
      <c r="J101" s="367" t="e">
        <f t="shared" si="11"/>
        <v>#REF!</v>
      </c>
      <c r="K101" s="367" t="e">
        <f t="shared" si="12"/>
        <v>#REF!</v>
      </c>
      <c r="L101" s="278"/>
      <c r="M101" s="262" t="s">
        <v>551</v>
      </c>
      <c r="O101">
        <v>188</v>
      </c>
      <c r="P101">
        <v>119</v>
      </c>
      <c r="Q101">
        <v>16.2</v>
      </c>
    </row>
    <row r="102" spans="1:17" x14ac:dyDescent="0.25">
      <c r="A102" s="623"/>
      <c r="B102" s="626"/>
      <c r="C102" s="257" t="s">
        <v>557</v>
      </c>
      <c r="D102" s="258" t="s">
        <v>553</v>
      </c>
      <c r="E102" s="258" t="e">
        <f>VLOOKUP(C102,#REF!,3,0)</f>
        <v>#REF!</v>
      </c>
      <c r="F102" s="263">
        <v>1838</v>
      </c>
      <c r="G102" s="260">
        <v>1164</v>
      </c>
      <c r="H102" s="261">
        <v>158</v>
      </c>
      <c r="I102" s="367" t="e">
        <f t="shared" si="10"/>
        <v>#REF!</v>
      </c>
      <c r="J102" s="367" t="e">
        <f t="shared" si="11"/>
        <v>#REF!</v>
      </c>
      <c r="K102" s="367" t="e">
        <f t="shared" si="12"/>
        <v>#REF!</v>
      </c>
      <c r="L102" s="278"/>
      <c r="M102" s="262" t="s">
        <v>551</v>
      </c>
      <c r="O102">
        <v>1838</v>
      </c>
      <c r="P102">
        <v>1164</v>
      </c>
      <c r="Q102">
        <v>158</v>
      </c>
    </row>
    <row r="103" spans="1:17" x14ac:dyDescent="0.25">
      <c r="A103" s="623"/>
      <c r="B103" s="626"/>
      <c r="C103" s="257" t="s">
        <v>558</v>
      </c>
      <c r="D103" s="258" t="s">
        <v>553</v>
      </c>
      <c r="E103" s="258" t="e">
        <f>VLOOKUP(C103,#REF!,3,0)</f>
        <v>#REF!</v>
      </c>
      <c r="F103" s="263">
        <v>16542</v>
      </c>
      <c r="G103" s="260">
        <v>10479</v>
      </c>
      <c r="H103" s="261">
        <v>1420</v>
      </c>
      <c r="I103" s="367" t="e">
        <f t="shared" si="10"/>
        <v>#REF!</v>
      </c>
      <c r="J103" s="367" t="e">
        <f t="shared" si="11"/>
        <v>#REF!</v>
      </c>
      <c r="K103" s="367" t="e">
        <f t="shared" si="12"/>
        <v>#REF!</v>
      </c>
      <c r="L103" s="278"/>
      <c r="M103" s="262" t="s">
        <v>551</v>
      </c>
      <c r="O103">
        <v>16542</v>
      </c>
      <c r="P103">
        <v>10479</v>
      </c>
      <c r="Q103">
        <v>1420</v>
      </c>
    </row>
    <row r="104" spans="1:17" x14ac:dyDescent="0.25">
      <c r="A104" s="623"/>
      <c r="B104" s="626"/>
      <c r="C104" s="257" t="s">
        <v>559</v>
      </c>
      <c r="D104" s="258" t="s">
        <v>461</v>
      </c>
      <c r="E104" s="258" t="e">
        <f>VLOOKUP(C104,#REF!,3,0)</f>
        <v>#REF!</v>
      </c>
      <c r="F104" s="263">
        <v>1196</v>
      </c>
      <c r="G104" s="260">
        <v>1174</v>
      </c>
      <c r="H104" s="261">
        <v>102</v>
      </c>
      <c r="I104" s="367" t="e">
        <f t="shared" si="10"/>
        <v>#REF!</v>
      </c>
      <c r="J104" s="367" t="e">
        <f t="shared" si="11"/>
        <v>#REF!</v>
      </c>
      <c r="K104" s="367" t="e">
        <f t="shared" si="12"/>
        <v>#REF!</v>
      </c>
      <c r="L104" s="278"/>
      <c r="M104" s="262" t="s">
        <v>560</v>
      </c>
      <c r="O104">
        <v>1196</v>
      </c>
      <c r="P104">
        <v>1174</v>
      </c>
      <c r="Q104">
        <v>102</v>
      </c>
    </row>
    <row r="105" spans="1:17" x14ac:dyDescent="0.25">
      <c r="A105" s="623"/>
      <c r="B105" s="626"/>
      <c r="C105" s="257" t="s">
        <v>561</v>
      </c>
      <c r="D105" s="258" t="s">
        <v>419</v>
      </c>
      <c r="E105" s="258" t="e">
        <f>VLOOKUP(C105,#REF!,3,0)</f>
        <v>#REF!</v>
      </c>
      <c r="F105" s="263">
        <v>358</v>
      </c>
      <c r="G105" s="260">
        <v>182</v>
      </c>
      <c r="H105" s="261">
        <v>29.4</v>
      </c>
      <c r="I105" s="367" t="e">
        <f t="shared" si="10"/>
        <v>#REF!</v>
      </c>
      <c r="J105" s="367" t="e">
        <f t="shared" si="11"/>
        <v>#REF!</v>
      </c>
      <c r="K105" s="367" t="e">
        <f t="shared" si="12"/>
        <v>#REF!</v>
      </c>
      <c r="L105" s="278"/>
      <c r="M105" s="262" t="s">
        <v>562</v>
      </c>
      <c r="O105">
        <v>358</v>
      </c>
      <c r="P105">
        <v>182</v>
      </c>
      <c r="Q105">
        <v>29.4</v>
      </c>
    </row>
    <row r="106" spans="1:17" x14ac:dyDescent="0.25">
      <c r="A106" s="623"/>
      <c r="B106" s="626"/>
      <c r="C106" s="257" t="s">
        <v>563</v>
      </c>
      <c r="D106" s="258" t="s">
        <v>419</v>
      </c>
      <c r="E106" s="258" t="e">
        <f>VLOOKUP(C106,#REF!,3,0)</f>
        <v>#REF!</v>
      </c>
      <c r="F106" s="263">
        <v>383</v>
      </c>
      <c r="G106" s="260">
        <v>244</v>
      </c>
      <c r="H106" s="261">
        <v>32.700000000000003</v>
      </c>
      <c r="I106" s="367" t="e">
        <f t="shared" si="10"/>
        <v>#REF!</v>
      </c>
      <c r="J106" s="367" t="e">
        <f t="shared" si="11"/>
        <v>#REF!</v>
      </c>
      <c r="K106" s="367" t="e">
        <f t="shared" si="12"/>
        <v>#REF!</v>
      </c>
      <c r="L106" s="278"/>
      <c r="M106" s="262" t="s">
        <v>562</v>
      </c>
      <c r="O106">
        <v>383</v>
      </c>
      <c r="P106">
        <v>244</v>
      </c>
      <c r="Q106">
        <v>32.700000000000003</v>
      </c>
    </row>
    <row r="107" spans="1:17" x14ac:dyDescent="0.25">
      <c r="A107" s="623"/>
      <c r="B107" s="626"/>
      <c r="C107" s="257" t="s">
        <v>564</v>
      </c>
      <c r="D107" s="258" t="s">
        <v>419</v>
      </c>
      <c r="E107" s="258" t="e">
        <f>VLOOKUP(C107,#REF!,3,0)</f>
        <v>#REF!</v>
      </c>
      <c r="F107" s="263">
        <v>415</v>
      </c>
      <c r="G107" s="260">
        <v>251</v>
      </c>
      <c r="H107" s="261">
        <v>33.6</v>
      </c>
      <c r="I107" s="367" t="e">
        <f t="shared" si="10"/>
        <v>#REF!</v>
      </c>
      <c r="J107" s="367" t="e">
        <f t="shared" si="11"/>
        <v>#REF!</v>
      </c>
      <c r="K107" s="367" t="e">
        <f t="shared" si="12"/>
        <v>#REF!</v>
      </c>
      <c r="L107" s="278"/>
      <c r="M107" s="262" t="s">
        <v>562</v>
      </c>
      <c r="O107">
        <v>415</v>
      </c>
      <c r="P107">
        <v>251</v>
      </c>
      <c r="Q107">
        <v>33.6</v>
      </c>
    </row>
    <row r="108" spans="1:17" x14ac:dyDescent="0.25">
      <c r="A108" s="623"/>
      <c r="B108" s="626"/>
      <c r="C108" s="257" t="s">
        <v>565</v>
      </c>
      <c r="D108" s="258" t="s">
        <v>553</v>
      </c>
      <c r="E108" s="258" t="e">
        <f>VLOOKUP(C108,#REF!,3,0)</f>
        <v>#REF!</v>
      </c>
      <c r="F108" s="263">
        <v>114</v>
      </c>
      <c r="G108" s="260">
        <v>57.9</v>
      </c>
      <c r="H108" s="261">
        <v>9.4</v>
      </c>
      <c r="I108" s="367" t="e">
        <f t="shared" si="10"/>
        <v>#REF!</v>
      </c>
      <c r="J108" s="367" t="e">
        <f t="shared" si="11"/>
        <v>#REF!</v>
      </c>
      <c r="K108" s="367" t="e">
        <f t="shared" si="12"/>
        <v>#REF!</v>
      </c>
      <c r="L108" s="278"/>
      <c r="M108" s="262" t="s">
        <v>562</v>
      </c>
      <c r="O108">
        <v>114</v>
      </c>
      <c r="P108">
        <v>57.9</v>
      </c>
      <c r="Q108">
        <v>9.4</v>
      </c>
    </row>
    <row r="109" spans="1:17" x14ac:dyDescent="0.25">
      <c r="A109" s="623"/>
      <c r="B109" s="626"/>
      <c r="C109" s="257" t="s">
        <v>566</v>
      </c>
      <c r="D109" s="258" t="s">
        <v>553</v>
      </c>
      <c r="E109" s="258" t="e">
        <f>VLOOKUP(C109,#REF!,3,0)</f>
        <v>#REF!</v>
      </c>
      <c r="F109" s="263">
        <v>871</v>
      </c>
      <c r="G109" s="260">
        <v>442</v>
      </c>
      <c r="H109" s="261">
        <v>71.5</v>
      </c>
      <c r="I109" s="367" t="e">
        <f t="shared" si="10"/>
        <v>#REF!</v>
      </c>
      <c r="J109" s="367" t="e">
        <f t="shared" si="11"/>
        <v>#REF!</v>
      </c>
      <c r="K109" s="367" t="e">
        <f t="shared" si="12"/>
        <v>#REF!</v>
      </c>
      <c r="L109" s="278"/>
      <c r="M109" s="262" t="s">
        <v>562</v>
      </c>
      <c r="O109">
        <v>871</v>
      </c>
      <c r="P109">
        <v>442</v>
      </c>
      <c r="Q109">
        <v>71.5</v>
      </c>
    </row>
    <row r="110" spans="1:17" x14ac:dyDescent="0.25">
      <c r="A110" s="623"/>
      <c r="B110" s="626"/>
      <c r="C110" s="257" t="s">
        <v>567</v>
      </c>
      <c r="D110" s="258" t="s">
        <v>553</v>
      </c>
      <c r="E110" s="258" t="e">
        <f>VLOOKUP(C110,#REF!,3,0)</f>
        <v>#REF!</v>
      </c>
      <c r="F110" s="263">
        <v>705</v>
      </c>
      <c r="G110" s="260">
        <v>357</v>
      </c>
      <c r="H110" s="261">
        <v>57.8</v>
      </c>
      <c r="I110" s="367" t="e">
        <f t="shared" si="10"/>
        <v>#REF!</v>
      </c>
      <c r="J110" s="367" t="e">
        <f t="shared" si="11"/>
        <v>#REF!</v>
      </c>
      <c r="K110" s="367" t="e">
        <f t="shared" si="12"/>
        <v>#REF!</v>
      </c>
      <c r="L110" s="278"/>
      <c r="M110" s="262" t="s">
        <v>562</v>
      </c>
      <c r="O110">
        <v>705</v>
      </c>
      <c r="P110">
        <v>357</v>
      </c>
      <c r="Q110">
        <v>57.8</v>
      </c>
    </row>
    <row r="111" spans="1:17" x14ac:dyDescent="0.25">
      <c r="A111" s="623"/>
      <c r="B111" s="626"/>
      <c r="C111" s="257" t="s">
        <v>568</v>
      </c>
      <c r="D111" s="258" t="s">
        <v>553</v>
      </c>
      <c r="E111" s="258" t="e">
        <f>VLOOKUP(C111,#REF!,3,0)</f>
        <v>#REF!</v>
      </c>
      <c r="F111" s="263">
        <v>59.7</v>
      </c>
      <c r="G111" s="260">
        <v>30.3</v>
      </c>
      <c r="H111" s="261">
        <v>4.9000000000000004</v>
      </c>
      <c r="I111" s="367" t="e">
        <f t="shared" si="10"/>
        <v>#REF!</v>
      </c>
      <c r="J111" s="367" t="e">
        <f t="shared" si="11"/>
        <v>#REF!</v>
      </c>
      <c r="K111" s="367" t="e">
        <f t="shared" si="12"/>
        <v>#REF!</v>
      </c>
      <c r="L111" s="278"/>
      <c r="M111" s="262" t="s">
        <v>562</v>
      </c>
      <c r="O111">
        <v>59.7</v>
      </c>
      <c r="P111">
        <v>30.3</v>
      </c>
      <c r="Q111">
        <v>4.9000000000000004</v>
      </c>
    </row>
    <row r="112" spans="1:17" x14ac:dyDescent="0.25">
      <c r="A112" s="623"/>
      <c r="B112" s="626"/>
      <c r="C112" s="257" t="s">
        <v>569</v>
      </c>
      <c r="D112" s="258" t="s">
        <v>553</v>
      </c>
      <c r="E112" s="258" t="e">
        <f>VLOOKUP(C112,#REF!,3,0)</f>
        <v>#REF!</v>
      </c>
      <c r="F112" s="263">
        <v>152</v>
      </c>
      <c r="G112" s="260">
        <v>76.8</v>
      </c>
      <c r="H112" s="261">
        <v>12.4</v>
      </c>
      <c r="I112" s="367" t="e">
        <f t="shared" si="10"/>
        <v>#REF!</v>
      </c>
      <c r="J112" s="367" t="e">
        <f t="shared" si="11"/>
        <v>#REF!</v>
      </c>
      <c r="K112" s="367" t="e">
        <f t="shared" si="12"/>
        <v>#REF!</v>
      </c>
      <c r="L112" s="278"/>
      <c r="M112" s="262" t="s">
        <v>562</v>
      </c>
      <c r="O112">
        <v>152</v>
      </c>
      <c r="P112">
        <v>76.8</v>
      </c>
      <c r="Q112">
        <v>12.4</v>
      </c>
    </row>
    <row r="113" spans="1:17" x14ac:dyDescent="0.25">
      <c r="A113" s="623"/>
      <c r="B113" s="626"/>
      <c r="C113" s="257" t="s">
        <v>570</v>
      </c>
      <c r="D113" s="258" t="s">
        <v>553</v>
      </c>
      <c r="E113" s="258" t="e">
        <f>VLOOKUP(C113,#REF!,3,0)</f>
        <v>#REF!</v>
      </c>
      <c r="F113" s="263">
        <v>574</v>
      </c>
      <c r="G113" s="260">
        <v>291</v>
      </c>
      <c r="H113" s="261">
        <v>47.1</v>
      </c>
      <c r="I113" s="367" t="e">
        <f t="shared" si="10"/>
        <v>#REF!</v>
      </c>
      <c r="J113" s="367" t="e">
        <f t="shared" si="11"/>
        <v>#REF!</v>
      </c>
      <c r="K113" s="367" t="e">
        <f t="shared" si="12"/>
        <v>#REF!</v>
      </c>
      <c r="L113" s="278"/>
      <c r="M113" s="262" t="s">
        <v>562</v>
      </c>
      <c r="O113">
        <v>574</v>
      </c>
      <c r="P113">
        <v>291</v>
      </c>
      <c r="Q113">
        <v>47.1</v>
      </c>
    </row>
    <row r="114" spans="1:17" x14ac:dyDescent="0.25">
      <c r="A114" s="623"/>
      <c r="B114" s="626"/>
      <c r="C114" s="257" t="s">
        <v>571</v>
      </c>
      <c r="D114" s="258" t="s">
        <v>419</v>
      </c>
      <c r="E114" s="258" t="e">
        <f>VLOOKUP(C114,#REF!,3,0)</f>
        <v>#REF!</v>
      </c>
      <c r="F114" s="263">
        <v>295</v>
      </c>
      <c r="G114" s="260">
        <v>160</v>
      </c>
      <c r="H114" s="261">
        <v>26.7</v>
      </c>
      <c r="I114" s="367" t="e">
        <f t="shared" si="10"/>
        <v>#REF!</v>
      </c>
      <c r="J114" s="367" t="e">
        <f t="shared" si="11"/>
        <v>#REF!</v>
      </c>
      <c r="K114" s="367" t="e">
        <f t="shared" si="12"/>
        <v>#REF!</v>
      </c>
      <c r="L114" s="278"/>
      <c r="M114" s="262" t="s">
        <v>572</v>
      </c>
      <c r="O114">
        <v>295</v>
      </c>
      <c r="P114">
        <v>160</v>
      </c>
      <c r="Q114">
        <v>26.7</v>
      </c>
    </row>
    <row r="115" spans="1:17" x14ac:dyDescent="0.25">
      <c r="A115" s="623"/>
      <c r="B115" s="626"/>
      <c r="C115" s="257" t="s">
        <v>573</v>
      </c>
      <c r="D115" s="258" t="s">
        <v>461</v>
      </c>
      <c r="E115" s="258" t="e">
        <f>VLOOKUP(C115,#REF!,3,0)</f>
        <v>#REF!</v>
      </c>
      <c r="F115" s="263">
        <v>1280</v>
      </c>
      <c r="G115" s="260">
        <v>693</v>
      </c>
      <c r="H115" s="261">
        <v>116</v>
      </c>
      <c r="I115" s="367" t="e">
        <f t="shared" si="10"/>
        <v>#REF!</v>
      </c>
      <c r="J115" s="367" t="e">
        <f t="shared" si="11"/>
        <v>#REF!</v>
      </c>
      <c r="K115" s="367" t="e">
        <f t="shared" si="12"/>
        <v>#REF!</v>
      </c>
      <c r="L115" s="278"/>
      <c r="M115" s="262" t="s">
        <v>572</v>
      </c>
      <c r="O115">
        <v>1280</v>
      </c>
      <c r="P115">
        <v>693</v>
      </c>
      <c r="Q115">
        <v>116</v>
      </c>
    </row>
    <row r="116" spans="1:17" x14ac:dyDescent="0.25">
      <c r="A116" s="623"/>
      <c r="B116" s="626"/>
      <c r="C116" s="257" t="s">
        <v>574</v>
      </c>
      <c r="D116" s="258" t="s">
        <v>461</v>
      </c>
      <c r="E116" s="258" t="e">
        <f>VLOOKUP(C116,#REF!,3,0)</f>
        <v>#REF!</v>
      </c>
      <c r="F116" s="263">
        <v>2400</v>
      </c>
      <c r="G116" s="260">
        <v>1300</v>
      </c>
      <c r="H116" s="261">
        <v>217</v>
      </c>
      <c r="I116" s="367" t="e">
        <f t="shared" si="10"/>
        <v>#REF!</v>
      </c>
      <c r="J116" s="367" t="e">
        <f t="shared" si="11"/>
        <v>#REF!</v>
      </c>
      <c r="K116" s="367" t="e">
        <f t="shared" si="12"/>
        <v>#REF!</v>
      </c>
      <c r="L116" s="278"/>
      <c r="M116" s="262" t="s">
        <v>572</v>
      </c>
      <c r="O116">
        <v>2400</v>
      </c>
      <c r="P116">
        <v>1300</v>
      </c>
      <c r="Q116">
        <v>217</v>
      </c>
    </row>
    <row r="117" spans="1:17" x14ac:dyDescent="0.25">
      <c r="A117" s="623"/>
      <c r="B117" s="626"/>
      <c r="C117" s="257" t="s">
        <v>575</v>
      </c>
      <c r="D117" s="258" t="s">
        <v>461</v>
      </c>
      <c r="E117" s="258" t="e">
        <f>VLOOKUP(C117,#REF!,3,0)</f>
        <v>#REF!</v>
      </c>
      <c r="F117" s="263">
        <v>4800</v>
      </c>
      <c r="G117" s="260">
        <v>2600</v>
      </c>
      <c r="H117" s="261">
        <v>434</v>
      </c>
      <c r="I117" s="367" t="e">
        <f t="shared" si="10"/>
        <v>#REF!</v>
      </c>
      <c r="J117" s="367" t="e">
        <f t="shared" si="11"/>
        <v>#REF!</v>
      </c>
      <c r="K117" s="367" t="e">
        <f t="shared" si="12"/>
        <v>#REF!</v>
      </c>
      <c r="L117" s="278"/>
      <c r="M117" s="262" t="s">
        <v>572</v>
      </c>
      <c r="O117">
        <v>4800</v>
      </c>
      <c r="P117">
        <v>2600</v>
      </c>
      <c r="Q117">
        <v>434</v>
      </c>
    </row>
    <row r="118" spans="1:17" x14ac:dyDescent="0.25">
      <c r="A118" s="623"/>
      <c r="B118" s="625" t="s">
        <v>576</v>
      </c>
      <c r="C118" s="257" t="s">
        <v>577</v>
      </c>
      <c r="D118" s="258" t="s">
        <v>419</v>
      </c>
      <c r="E118" s="258" t="e">
        <f>VLOOKUP(C118,#REF!,3,0)</f>
        <v>#REF!</v>
      </c>
      <c r="F118" s="263">
        <v>150</v>
      </c>
      <c r="G118" s="260">
        <v>289</v>
      </c>
      <c r="H118" s="261">
        <v>10.1</v>
      </c>
      <c r="I118" s="367" t="e">
        <f t="shared" ref="I118:I127" si="13">_xlfn.IFNA($E118*F118,0)</f>
        <v>#REF!</v>
      </c>
      <c r="J118" s="367" t="e">
        <f t="shared" ref="J118:J127" si="14">_xlfn.IFNA($E118*G118,0)</f>
        <v>#REF!</v>
      </c>
      <c r="K118" s="367" t="e">
        <f t="shared" ref="K118:K127" si="15">_xlfn.IFNA($E118*H118,0)</f>
        <v>#REF!</v>
      </c>
      <c r="L118" s="278"/>
      <c r="M118" s="262" t="s">
        <v>578</v>
      </c>
      <c r="O118">
        <v>150</v>
      </c>
      <c r="P118">
        <v>289</v>
      </c>
      <c r="Q118">
        <v>10.1</v>
      </c>
    </row>
    <row r="119" spans="1:17" x14ac:dyDescent="0.25">
      <c r="A119" s="623"/>
      <c r="B119" s="626"/>
      <c r="C119" s="257" t="s">
        <v>579</v>
      </c>
      <c r="D119" s="258" t="s">
        <v>553</v>
      </c>
      <c r="E119" s="258" t="e">
        <f>VLOOKUP(C119,#REF!,3,0)</f>
        <v>#REF!</v>
      </c>
      <c r="F119" s="263">
        <v>45.1</v>
      </c>
      <c r="G119" s="260">
        <v>87</v>
      </c>
      <c r="H119" s="261">
        <v>3</v>
      </c>
      <c r="I119" s="367" t="e">
        <f t="shared" si="13"/>
        <v>#REF!</v>
      </c>
      <c r="J119" s="367" t="e">
        <f t="shared" si="14"/>
        <v>#REF!</v>
      </c>
      <c r="K119" s="367" t="e">
        <f t="shared" si="15"/>
        <v>#REF!</v>
      </c>
      <c r="L119" s="278"/>
      <c r="M119" s="262" t="s">
        <v>578</v>
      </c>
      <c r="O119">
        <v>45.1</v>
      </c>
      <c r="P119">
        <v>87</v>
      </c>
      <c r="Q119">
        <v>3</v>
      </c>
    </row>
    <row r="120" spans="1:17" x14ac:dyDescent="0.25">
      <c r="A120" s="623"/>
      <c r="B120" s="626"/>
      <c r="C120" s="257" t="s">
        <v>580</v>
      </c>
      <c r="D120" s="258" t="s">
        <v>553</v>
      </c>
      <c r="E120" s="258" t="e">
        <f>VLOOKUP(C120,#REF!,3,0)</f>
        <v>#REF!</v>
      </c>
      <c r="F120" s="263">
        <v>77.3</v>
      </c>
      <c r="G120" s="260">
        <v>149</v>
      </c>
      <c r="H120" s="261">
        <v>5.2</v>
      </c>
      <c r="I120" s="367" t="e">
        <f t="shared" si="13"/>
        <v>#REF!</v>
      </c>
      <c r="J120" s="367" t="e">
        <f t="shared" si="14"/>
        <v>#REF!</v>
      </c>
      <c r="K120" s="367" t="e">
        <f t="shared" si="15"/>
        <v>#REF!</v>
      </c>
      <c r="L120" s="278"/>
      <c r="M120" s="262" t="s">
        <v>578</v>
      </c>
      <c r="O120">
        <v>77.3</v>
      </c>
      <c r="P120">
        <v>149</v>
      </c>
      <c r="Q120">
        <v>5.2</v>
      </c>
    </row>
    <row r="121" spans="1:17" x14ac:dyDescent="0.25">
      <c r="A121" s="623"/>
      <c r="B121" s="626"/>
      <c r="C121" s="257" t="s">
        <v>581</v>
      </c>
      <c r="D121" s="258" t="s">
        <v>553</v>
      </c>
      <c r="E121" s="258" t="e">
        <f>VLOOKUP(C121,#REF!,3,0)</f>
        <v>#REF!</v>
      </c>
      <c r="F121" s="263">
        <v>199</v>
      </c>
      <c r="G121" s="260">
        <v>384</v>
      </c>
      <c r="H121" s="261">
        <v>13.4</v>
      </c>
      <c r="I121" s="367" t="e">
        <f t="shared" si="13"/>
        <v>#REF!</v>
      </c>
      <c r="J121" s="367" t="e">
        <f t="shared" si="14"/>
        <v>#REF!</v>
      </c>
      <c r="K121" s="367" t="e">
        <f t="shared" si="15"/>
        <v>#REF!</v>
      </c>
      <c r="L121" s="278"/>
      <c r="M121" s="262" t="s">
        <v>578</v>
      </c>
      <c r="O121">
        <v>199</v>
      </c>
      <c r="P121">
        <v>384</v>
      </c>
      <c r="Q121">
        <v>13.4</v>
      </c>
    </row>
    <row r="122" spans="1:17" x14ac:dyDescent="0.25">
      <c r="A122" s="623"/>
      <c r="B122" s="626"/>
      <c r="C122" s="257" t="s">
        <v>582</v>
      </c>
      <c r="D122" s="258" t="s">
        <v>419</v>
      </c>
      <c r="E122" s="258" t="e">
        <f>VLOOKUP(C122,#REF!,3,0)</f>
        <v>#REF!</v>
      </c>
      <c r="F122" s="263">
        <v>226</v>
      </c>
      <c r="G122" s="260">
        <v>389</v>
      </c>
      <c r="H122" s="261">
        <v>15.1</v>
      </c>
      <c r="I122" s="367" t="e">
        <f t="shared" si="13"/>
        <v>#REF!</v>
      </c>
      <c r="J122" s="367" t="e">
        <f t="shared" si="14"/>
        <v>#REF!</v>
      </c>
      <c r="K122" s="367" t="e">
        <f t="shared" si="15"/>
        <v>#REF!</v>
      </c>
      <c r="L122" s="278"/>
      <c r="M122" s="262" t="s">
        <v>583</v>
      </c>
      <c r="O122">
        <v>226</v>
      </c>
      <c r="P122">
        <v>389</v>
      </c>
      <c r="Q122">
        <v>15.1</v>
      </c>
    </row>
    <row r="123" spans="1:17" x14ac:dyDescent="0.25">
      <c r="A123" s="623"/>
      <c r="B123" s="626"/>
      <c r="C123" s="257" t="s">
        <v>584</v>
      </c>
      <c r="D123" s="258" t="s">
        <v>461</v>
      </c>
      <c r="E123" s="258" t="e">
        <f>VLOOKUP(C123,#REF!,3,0)</f>
        <v>#REF!</v>
      </c>
      <c r="F123" s="263">
        <v>1819</v>
      </c>
      <c r="G123" s="260">
        <v>3132</v>
      </c>
      <c r="H123" s="261">
        <v>121</v>
      </c>
      <c r="I123" s="367" t="e">
        <f t="shared" si="13"/>
        <v>#REF!</v>
      </c>
      <c r="J123" s="367" t="e">
        <f t="shared" si="14"/>
        <v>#REF!</v>
      </c>
      <c r="K123" s="367" t="e">
        <f t="shared" si="15"/>
        <v>#REF!</v>
      </c>
      <c r="L123" s="278"/>
      <c r="M123" s="262" t="s">
        <v>583</v>
      </c>
      <c r="O123">
        <v>1819</v>
      </c>
      <c r="P123">
        <v>3132</v>
      </c>
      <c r="Q123">
        <v>121</v>
      </c>
    </row>
    <row r="124" spans="1:17" x14ac:dyDescent="0.25">
      <c r="A124" s="623"/>
      <c r="B124" s="626"/>
      <c r="C124" s="257" t="s">
        <v>585</v>
      </c>
      <c r="D124" s="258" t="s">
        <v>461</v>
      </c>
      <c r="E124" s="258" t="e">
        <f>VLOOKUP(C124,#REF!,3,0)</f>
        <v>#REF!</v>
      </c>
      <c r="F124" s="263">
        <v>2426</v>
      </c>
      <c r="G124" s="260">
        <v>4175</v>
      </c>
      <c r="H124" s="261">
        <v>162</v>
      </c>
      <c r="I124" s="367" t="e">
        <f t="shared" si="13"/>
        <v>#REF!</v>
      </c>
      <c r="J124" s="367" t="e">
        <f t="shared" si="14"/>
        <v>#REF!</v>
      </c>
      <c r="K124" s="367" t="e">
        <f t="shared" si="15"/>
        <v>#REF!</v>
      </c>
      <c r="L124" s="278"/>
      <c r="M124" s="262" t="s">
        <v>583</v>
      </c>
      <c r="O124">
        <v>2426</v>
      </c>
      <c r="P124">
        <v>4175</v>
      </c>
      <c r="Q124">
        <v>162</v>
      </c>
    </row>
    <row r="125" spans="1:17" x14ac:dyDescent="0.25">
      <c r="A125" s="623"/>
      <c r="B125" s="626"/>
      <c r="C125" s="257" t="s">
        <v>586</v>
      </c>
      <c r="D125" s="258" t="s">
        <v>461</v>
      </c>
      <c r="E125" s="258" t="e">
        <f>VLOOKUP(C125,#REF!,3,0)</f>
        <v>#REF!</v>
      </c>
      <c r="F125" s="263">
        <v>4043</v>
      </c>
      <c r="G125" s="260">
        <v>6959</v>
      </c>
      <c r="H125" s="261">
        <v>270</v>
      </c>
      <c r="I125" s="367" t="e">
        <f t="shared" si="13"/>
        <v>#REF!</v>
      </c>
      <c r="J125" s="367" t="e">
        <f t="shared" si="14"/>
        <v>#REF!</v>
      </c>
      <c r="K125" s="367" t="e">
        <f t="shared" si="15"/>
        <v>#REF!</v>
      </c>
      <c r="L125" s="278"/>
      <c r="M125" s="262" t="s">
        <v>583</v>
      </c>
      <c r="O125">
        <v>4043</v>
      </c>
      <c r="P125">
        <v>6959</v>
      </c>
      <c r="Q125">
        <v>270</v>
      </c>
    </row>
    <row r="126" spans="1:17" x14ac:dyDescent="0.25">
      <c r="A126" s="623"/>
      <c r="B126" s="626"/>
      <c r="C126" s="257" t="s">
        <v>587</v>
      </c>
      <c r="D126" s="258" t="s">
        <v>461</v>
      </c>
      <c r="E126" s="258" t="e">
        <f>VLOOKUP(C126,#REF!,3,0)</f>
        <v>#REF!</v>
      </c>
      <c r="F126" s="263">
        <v>6064</v>
      </c>
      <c r="G126" s="260">
        <v>10438</v>
      </c>
      <c r="H126" s="261">
        <v>405</v>
      </c>
      <c r="I126" s="367" t="e">
        <f t="shared" si="13"/>
        <v>#REF!</v>
      </c>
      <c r="J126" s="367" t="e">
        <f t="shared" si="14"/>
        <v>#REF!</v>
      </c>
      <c r="K126" s="367" t="e">
        <f t="shared" si="15"/>
        <v>#REF!</v>
      </c>
      <c r="L126" s="278"/>
      <c r="M126" s="262" t="s">
        <v>583</v>
      </c>
      <c r="O126">
        <v>6064</v>
      </c>
      <c r="P126">
        <v>10438</v>
      </c>
      <c r="Q126">
        <v>405</v>
      </c>
    </row>
    <row r="127" spans="1:17" x14ac:dyDescent="0.25">
      <c r="A127" s="623"/>
      <c r="B127" s="626"/>
      <c r="C127" s="257" t="s">
        <v>588</v>
      </c>
      <c r="D127" s="258" t="s">
        <v>419</v>
      </c>
      <c r="E127" s="258" t="e">
        <f>VLOOKUP(C127,#REF!,3,0)</f>
        <v>#REF!</v>
      </c>
      <c r="F127" s="263">
        <v>671</v>
      </c>
      <c r="G127" s="260">
        <v>897</v>
      </c>
      <c r="H127" s="261">
        <v>41.8</v>
      </c>
      <c r="I127" s="367" t="e">
        <f t="shared" si="13"/>
        <v>#REF!</v>
      </c>
      <c r="J127" s="367" t="e">
        <f t="shared" si="14"/>
        <v>#REF!</v>
      </c>
      <c r="K127" s="367" t="e">
        <f t="shared" si="15"/>
        <v>#REF!</v>
      </c>
      <c r="L127" s="278"/>
      <c r="M127" s="262" t="s">
        <v>589</v>
      </c>
      <c r="O127">
        <v>671</v>
      </c>
      <c r="P127">
        <v>897</v>
      </c>
      <c r="Q127">
        <v>41.8</v>
      </c>
    </row>
    <row r="128" spans="1:17" x14ac:dyDescent="0.25">
      <c r="A128" s="623"/>
      <c r="B128" s="625" t="s">
        <v>590</v>
      </c>
      <c r="C128" s="257" t="s">
        <v>591</v>
      </c>
      <c r="D128" s="258" t="s">
        <v>419</v>
      </c>
      <c r="E128" s="258" t="e">
        <f>VLOOKUP(C128,#REF!,3,0)</f>
        <v>#REF!</v>
      </c>
      <c r="F128" s="263">
        <v>226</v>
      </c>
      <c r="G128" s="260">
        <v>253</v>
      </c>
      <c r="H128" s="261">
        <v>13.9</v>
      </c>
      <c r="I128" s="367" t="e">
        <f t="shared" ref="I128:I138" si="16">_xlfn.IFNA($E128*F128,0)</f>
        <v>#REF!</v>
      </c>
      <c r="J128" s="367" t="e">
        <f t="shared" ref="J128:J138" si="17">_xlfn.IFNA($E128*G128,0)</f>
        <v>#REF!</v>
      </c>
      <c r="K128" s="367" t="e">
        <f t="shared" ref="K128:K138" si="18">_xlfn.IFNA($E128*H128,0)</f>
        <v>#REF!</v>
      </c>
      <c r="L128" s="278"/>
      <c r="M128" s="262" t="s">
        <v>592</v>
      </c>
      <c r="O128">
        <v>226</v>
      </c>
      <c r="P128">
        <v>253</v>
      </c>
      <c r="Q128">
        <v>13.9</v>
      </c>
    </row>
    <row r="129" spans="1:17" x14ac:dyDescent="0.25">
      <c r="A129" s="623"/>
      <c r="B129" s="626"/>
      <c r="C129" s="257" t="s">
        <v>593</v>
      </c>
      <c r="D129" s="258" t="s">
        <v>553</v>
      </c>
      <c r="E129" s="258" t="e">
        <f>VLOOKUP(C129,#REF!,3,0)</f>
        <v>#REF!</v>
      </c>
      <c r="F129" s="263">
        <v>5.5</v>
      </c>
      <c r="G129" s="260">
        <v>6.2</v>
      </c>
      <c r="H129" s="261">
        <v>0.34</v>
      </c>
      <c r="I129" s="367" t="e">
        <f t="shared" si="16"/>
        <v>#REF!</v>
      </c>
      <c r="J129" s="367" t="e">
        <f t="shared" si="17"/>
        <v>#REF!</v>
      </c>
      <c r="K129" s="367" t="e">
        <f t="shared" si="18"/>
        <v>#REF!</v>
      </c>
      <c r="L129" s="278"/>
      <c r="M129" s="262" t="s">
        <v>592</v>
      </c>
      <c r="O129">
        <v>5.5</v>
      </c>
      <c r="P129">
        <v>6.2</v>
      </c>
      <c r="Q129">
        <v>0.34</v>
      </c>
    </row>
    <row r="130" spans="1:17" x14ac:dyDescent="0.25">
      <c r="A130" s="623"/>
      <c r="B130" s="626"/>
      <c r="C130" s="257" t="s">
        <v>594</v>
      </c>
      <c r="D130" s="258" t="s">
        <v>553</v>
      </c>
      <c r="E130" s="258" t="e">
        <f>VLOOKUP(C130,#REF!,3,0)</f>
        <v>#REF!</v>
      </c>
      <c r="F130" s="263">
        <v>14.1</v>
      </c>
      <c r="G130" s="260">
        <v>15.8</v>
      </c>
      <c r="H130" s="261">
        <v>0.87</v>
      </c>
      <c r="I130" s="367" t="e">
        <f t="shared" si="16"/>
        <v>#REF!</v>
      </c>
      <c r="J130" s="367" t="e">
        <f t="shared" si="17"/>
        <v>#REF!</v>
      </c>
      <c r="K130" s="367" t="e">
        <f t="shared" si="18"/>
        <v>#REF!</v>
      </c>
      <c r="L130" s="278"/>
      <c r="M130" s="262" t="s">
        <v>592</v>
      </c>
      <c r="O130">
        <v>14.1</v>
      </c>
      <c r="P130">
        <v>15.8</v>
      </c>
      <c r="Q130">
        <v>0.87</v>
      </c>
    </row>
    <row r="131" spans="1:17" x14ac:dyDescent="0.25">
      <c r="A131" s="623"/>
      <c r="B131" s="626"/>
      <c r="C131" s="257" t="s">
        <v>595</v>
      </c>
      <c r="D131" s="258" t="s">
        <v>553</v>
      </c>
      <c r="E131" s="258" t="e">
        <f>VLOOKUP(C131,#REF!,3,0)</f>
        <v>#REF!</v>
      </c>
      <c r="F131" s="263">
        <v>2.4</v>
      </c>
      <c r="G131" s="260">
        <v>2.7</v>
      </c>
      <c r="H131" s="261">
        <v>0.15</v>
      </c>
      <c r="I131" s="367" t="e">
        <f t="shared" si="16"/>
        <v>#REF!</v>
      </c>
      <c r="J131" s="367" t="e">
        <f t="shared" si="17"/>
        <v>#REF!</v>
      </c>
      <c r="K131" s="367" t="e">
        <f t="shared" si="18"/>
        <v>#REF!</v>
      </c>
      <c r="L131" s="278"/>
      <c r="M131" s="262" t="s">
        <v>592</v>
      </c>
      <c r="O131">
        <v>2.4</v>
      </c>
      <c r="P131">
        <v>2.7</v>
      </c>
      <c r="Q131">
        <v>0.15</v>
      </c>
    </row>
    <row r="132" spans="1:17" x14ac:dyDescent="0.25">
      <c r="A132" s="623"/>
      <c r="B132" s="626"/>
      <c r="C132" s="257" t="s">
        <v>596</v>
      </c>
      <c r="D132" s="258" t="s">
        <v>553</v>
      </c>
      <c r="E132" s="258" t="e">
        <f>VLOOKUP(C132,#REF!,3,0)</f>
        <v>#REF!</v>
      </c>
      <c r="F132" s="263">
        <v>14.2</v>
      </c>
      <c r="G132" s="260">
        <v>15.9</v>
      </c>
      <c r="H132" s="261">
        <v>0.87</v>
      </c>
      <c r="I132" s="367" t="e">
        <f t="shared" si="16"/>
        <v>#REF!</v>
      </c>
      <c r="J132" s="367" t="e">
        <f t="shared" si="17"/>
        <v>#REF!</v>
      </c>
      <c r="K132" s="367" t="e">
        <f t="shared" si="18"/>
        <v>#REF!</v>
      </c>
      <c r="L132" s="278"/>
      <c r="M132" s="262" t="s">
        <v>592</v>
      </c>
      <c r="O132">
        <v>14.2</v>
      </c>
      <c r="P132">
        <v>15.9</v>
      </c>
      <c r="Q132">
        <v>0.87</v>
      </c>
    </row>
    <row r="133" spans="1:17" x14ac:dyDescent="0.25">
      <c r="A133" s="623"/>
      <c r="B133" s="626"/>
      <c r="C133" s="257" t="s">
        <v>597</v>
      </c>
      <c r="D133" s="258" t="s">
        <v>553</v>
      </c>
      <c r="E133" s="258" t="e">
        <f>VLOOKUP(C133,#REF!,3,0)</f>
        <v>#REF!</v>
      </c>
      <c r="F133" s="263">
        <v>57.8</v>
      </c>
      <c r="G133" s="260">
        <v>64.900000000000006</v>
      </c>
      <c r="H133" s="261">
        <v>3.6</v>
      </c>
      <c r="I133" s="367" t="e">
        <f t="shared" si="16"/>
        <v>#REF!</v>
      </c>
      <c r="J133" s="367" t="e">
        <f t="shared" si="17"/>
        <v>#REF!</v>
      </c>
      <c r="K133" s="367" t="e">
        <f t="shared" si="18"/>
        <v>#REF!</v>
      </c>
      <c r="L133" s="278"/>
      <c r="M133" s="262" t="s">
        <v>592</v>
      </c>
      <c r="O133">
        <v>57.8</v>
      </c>
      <c r="P133">
        <v>64.900000000000006</v>
      </c>
      <c r="Q133">
        <v>3.6</v>
      </c>
    </row>
    <row r="134" spans="1:17" x14ac:dyDescent="0.25">
      <c r="A134" s="623"/>
      <c r="B134" s="626"/>
      <c r="C134" s="257" t="s">
        <v>598</v>
      </c>
      <c r="D134" s="258" t="s">
        <v>553</v>
      </c>
      <c r="E134" s="258" t="e">
        <f>VLOOKUP(C134,#REF!,3,0)</f>
        <v>#REF!</v>
      </c>
      <c r="F134" s="263">
        <v>127</v>
      </c>
      <c r="G134" s="260">
        <v>143</v>
      </c>
      <c r="H134" s="261">
        <v>7.8</v>
      </c>
      <c r="I134" s="367" t="e">
        <f t="shared" si="16"/>
        <v>#REF!</v>
      </c>
      <c r="J134" s="367" t="e">
        <f t="shared" si="17"/>
        <v>#REF!</v>
      </c>
      <c r="K134" s="367" t="e">
        <f t="shared" si="18"/>
        <v>#REF!</v>
      </c>
      <c r="L134" s="278"/>
      <c r="M134" s="262" t="s">
        <v>592</v>
      </c>
      <c r="O134">
        <v>127</v>
      </c>
      <c r="P134">
        <v>143</v>
      </c>
      <c r="Q134">
        <v>7.8</v>
      </c>
    </row>
    <row r="135" spans="1:17" x14ac:dyDescent="0.25">
      <c r="A135" s="623"/>
      <c r="B135" s="626"/>
      <c r="C135" s="257" t="s">
        <v>599</v>
      </c>
      <c r="D135" s="258" t="s">
        <v>419</v>
      </c>
      <c r="E135" s="258" t="e">
        <f>VLOOKUP(C135,#REF!,3,0)</f>
        <v>#REF!</v>
      </c>
      <c r="F135" s="263">
        <v>123</v>
      </c>
      <c r="G135" s="260">
        <v>168</v>
      </c>
      <c r="H135" s="261">
        <v>9.1999999999999993</v>
      </c>
      <c r="I135" s="367" t="e">
        <f t="shared" si="16"/>
        <v>#REF!</v>
      </c>
      <c r="J135" s="367" t="e">
        <f t="shared" si="17"/>
        <v>#REF!</v>
      </c>
      <c r="K135" s="367" t="e">
        <f t="shared" si="18"/>
        <v>#REF!</v>
      </c>
      <c r="L135" s="278"/>
      <c r="M135" s="262" t="s">
        <v>600</v>
      </c>
      <c r="O135">
        <v>123</v>
      </c>
      <c r="P135">
        <v>168</v>
      </c>
      <c r="Q135">
        <v>9.1999999999999993</v>
      </c>
    </row>
    <row r="136" spans="1:17" x14ac:dyDescent="0.25">
      <c r="A136" s="623"/>
      <c r="B136" s="626"/>
      <c r="C136" s="257" t="s">
        <v>601</v>
      </c>
      <c r="D136" s="258" t="s">
        <v>419</v>
      </c>
      <c r="E136" s="258" t="e">
        <f>VLOOKUP(C136,#REF!,3,0)</f>
        <v>#REF!</v>
      </c>
      <c r="F136" s="263">
        <v>155</v>
      </c>
      <c r="G136" s="260">
        <v>138</v>
      </c>
      <c r="H136" s="261">
        <v>11.8</v>
      </c>
      <c r="I136" s="367" t="e">
        <f t="shared" si="16"/>
        <v>#REF!</v>
      </c>
      <c r="J136" s="367" t="e">
        <f t="shared" si="17"/>
        <v>#REF!</v>
      </c>
      <c r="K136" s="367" t="e">
        <f t="shared" si="18"/>
        <v>#REF!</v>
      </c>
      <c r="L136" s="278"/>
      <c r="M136" s="262" t="s">
        <v>602</v>
      </c>
      <c r="O136">
        <v>155</v>
      </c>
      <c r="P136">
        <v>138</v>
      </c>
      <c r="Q136">
        <v>11.8</v>
      </c>
    </row>
    <row r="137" spans="1:17" x14ac:dyDescent="0.25">
      <c r="A137" s="623"/>
      <c r="B137" s="626"/>
      <c r="C137" s="257" t="s">
        <v>603</v>
      </c>
      <c r="D137" s="258" t="s">
        <v>419</v>
      </c>
      <c r="E137" s="258" t="e">
        <f>VLOOKUP(C137,#REF!,3,0)</f>
        <v>#REF!</v>
      </c>
      <c r="F137" s="263">
        <v>97.6</v>
      </c>
      <c r="G137" s="260">
        <v>140</v>
      </c>
      <c r="H137" s="261">
        <v>7.2</v>
      </c>
      <c r="I137" s="367" t="e">
        <f t="shared" si="16"/>
        <v>#REF!</v>
      </c>
      <c r="J137" s="367" t="e">
        <f t="shared" si="17"/>
        <v>#REF!</v>
      </c>
      <c r="K137" s="367" t="e">
        <f t="shared" si="18"/>
        <v>#REF!</v>
      </c>
      <c r="L137" s="278"/>
      <c r="M137" s="262" t="s">
        <v>604</v>
      </c>
      <c r="O137">
        <v>97.6</v>
      </c>
      <c r="P137">
        <v>140</v>
      </c>
      <c r="Q137">
        <v>7.2</v>
      </c>
    </row>
    <row r="138" spans="1:17" x14ac:dyDescent="0.25">
      <c r="A138" s="623"/>
      <c r="B138" s="626"/>
      <c r="C138" s="257" t="s">
        <v>605</v>
      </c>
      <c r="D138" s="258" t="s">
        <v>419</v>
      </c>
      <c r="E138" s="258" t="e">
        <f>VLOOKUP(C138,#REF!,3,0)</f>
        <v>#REF!</v>
      </c>
      <c r="F138" s="263">
        <v>238</v>
      </c>
      <c r="G138" s="260">
        <v>263</v>
      </c>
      <c r="H138" s="261">
        <v>14.7</v>
      </c>
      <c r="I138" s="367" t="e">
        <f t="shared" si="16"/>
        <v>#REF!</v>
      </c>
      <c r="J138" s="367" t="e">
        <f t="shared" si="17"/>
        <v>#REF!</v>
      </c>
      <c r="K138" s="367" t="e">
        <f t="shared" si="18"/>
        <v>#REF!</v>
      </c>
      <c r="L138" s="278"/>
      <c r="M138" s="262" t="s">
        <v>604</v>
      </c>
      <c r="O138">
        <v>238</v>
      </c>
      <c r="P138">
        <v>263</v>
      </c>
      <c r="Q138">
        <v>14.7</v>
      </c>
    </row>
    <row r="139" spans="1:17" x14ac:dyDescent="0.25">
      <c r="A139" s="623"/>
      <c r="B139" s="625" t="s">
        <v>606</v>
      </c>
      <c r="C139" s="257" t="s">
        <v>607</v>
      </c>
      <c r="D139" s="258" t="s">
        <v>419</v>
      </c>
      <c r="E139" s="258" t="e">
        <f>VLOOKUP(C139,#REF!,3,0)</f>
        <v>#REF!</v>
      </c>
      <c r="F139" s="263">
        <v>51.7</v>
      </c>
      <c r="G139" s="260">
        <v>77.599999999999994</v>
      </c>
      <c r="H139" s="261">
        <v>3.7</v>
      </c>
      <c r="I139" s="367" t="e">
        <f t="shared" ref="I139:I157" si="19">_xlfn.IFNA($E139*F139,0)</f>
        <v>#REF!</v>
      </c>
      <c r="J139" s="367" t="e">
        <f t="shared" ref="J139:J157" si="20">_xlfn.IFNA($E139*G139,0)</f>
        <v>#REF!</v>
      </c>
      <c r="K139" s="367" t="e">
        <f t="shared" ref="K139:K157" si="21">_xlfn.IFNA($E139*H139,0)</f>
        <v>#REF!</v>
      </c>
      <c r="L139" s="278"/>
      <c r="M139" s="262" t="s">
        <v>608</v>
      </c>
      <c r="O139">
        <v>51.7</v>
      </c>
      <c r="P139">
        <v>77.599999999999994</v>
      </c>
      <c r="Q139">
        <v>3.7</v>
      </c>
    </row>
    <row r="140" spans="1:17" x14ac:dyDescent="0.25">
      <c r="A140" s="623"/>
      <c r="B140" s="625"/>
      <c r="C140" s="257" t="s">
        <v>609</v>
      </c>
      <c r="D140" s="258" t="s">
        <v>419</v>
      </c>
      <c r="E140" s="258" t="e">
        <f>VLOOKUP(C140,#REF!,3,0)</f>
        <v>#REF!</v>
      </c>
      <c r="F140" s="263">
        <v>43</v>
      </c>
      <c r="G140" s="260">
        <v>43.2</v>
      </c>
      <c r="H140" s="261">
        <v>3.3</v>
      </c>
      <c r="I140" s="367" t="e">
        <f t="shared" si="19"/>
        <v>#REF!</v>
      </c>
      <c r="J140" s="367" t="e">
        <f t="shared" si="20"/>
        <v>#REF!</v>
      </c>
      <c r="K140" s="367" t="e">
        <f t="shared" si="21"/>
        <v>#REF!</v>
      </c>
      <c r="L140" s="278"/>
      <c r="M140" s="262" t="s">
        <v>610</v>
      </c>
      <c r="O140">
        <v>43</v>
      </c>
      <c r="P140">
        <v>43.2</v>
      </c>
      <c r="Q140">
        <v>3.3</v>
      </c>
    </row>
    <row r="141" spans="1:17" x14ac:dyDescent="0.25">
      <c r="A141" s="623"/>
      <c r="B141" s="625"/>
      <c r="C141" s="257" t="s">
        <v>611</v>
      </c>
      <c r="D141" s="258" t="s">
        <v>419</v>
      </c>
      <c r="E141" s="258" t="e">
        <f>VLOOKUP(C141,#REF!,3,0)</f>
        <v>#REF!</v>
      </c>
      <c r="F141" s="263">
        <v>38.799999999999997</v>
      </c>
      <c r="G141" s="260">
        <v>37.1</v>
      </c>
      <c r="H141" s="261">
        <v>2.9</v>
      </c>
      <c r="I141" s="367" t="e">
        <f t="shared" si="19"/>
        <v>#REF!</v>
      </c>
      <c r="J141" s="367" t="e">
        <f t="shared" si="20"/>
        <v>#REF!</v>
      </c>
      <c r="K141" s="367" t="e">
        <f t="shared" si="21"/>
        <v>#REF!</v>
      </c>
      <c r="L141" s="278"/>
      <c r="M141" s="262" t="s">
        <v>612</v>
      </c>
      <c r="O141">
        <v>38.799999999999997</v>
      </c>
      <c r="P141">
        <v>37.1</v>
      </c>
      <c r="Q141">
        <v>2.9</v>
      </c>
    </row>
    <row r="142" spans="1:17" x14ac:dyDescent="0.25">
      <c r="A142" s="623"/>
      <c r="B142" s="625"/>
      <c r="C142" s="257" t="s">
        <v>613</v>
      </c>
      <c r="D142" s="258" t="s">
        <v>553</v>
      </c>
      <c r="E142" s="258" t="e">
        <f>VLOOKUP(C142,#REF!,3,0)</f>
        <v>#REF!</v>
      </c>
      <c r="F142" s="263">
        <v>8.6</v>
      </c>
      <c r="G142" s="260">
        <v>8.1999999999999993</v>
      </c>
      <c r="H142" s="261">
        <v>0.64</v>
      </c>
      <c r="I142" s="367" t="e">
        <f t="shared" si="19"/>
        <v>#REF!</v>
      </c>
      <c r="J142" s="367" t="e">
        <f t="shared" si="20"/>
        <v>#REF!</v>
      </c>
      <c r="K142" s="367" t="e">
        <f t="shared" si="21"/>
        <v>#REF!</v>
      </c>
      <c r="L142" s="278"/>
      <c r="M142" s="262" t="s">
        <v>612</v>
      </c>
      <c r="O142">
        <v>8.6</v>
      </c>
      <c r="P142">
        <v>8.1999999999999993</v>
      </c>
      <c r="Q142">
        <v>0.64</v>
      </c>
    </row>
    <row r="143" spans="1:17" x14ac:dyDescent="0.25">
      <c r="A143" s="623"/>
      <c r="B143" s="625"/>
      <c r="C143" s="257" t="s">
        <v>614</v>
      </c>
      <c r="D143" s="258" t="s">
        <v>553</v>
      </c>
      <c r="E143" s="258" t="e">
        <f>VLOOKUP(C143,#REF!,3,0)</f>
        <v>#REF!</v>
      </c>
      <c r="F143" s="263">
        <v>15.3</v>
      </c>
      <c r="G143" s="260">
        <v>14.6</v>
      </c>
      <c r="H143" s="261">
        <v>1.1000000000000001</v>
      </c>
      <c r="I143" s="367" t="e">
        <f t="shared" si="19"/>
        <v>#REF!</v>
      </c>
      <c r="J143" s="367" t="e">
        <f t="shared" si="20"/>
        <v>#REF!</v>
      </c>
      <c r="K143" s="367" t="e">
        <f t="shared" si="21"/>
        <v>#REF!</v>
      </c>
      <c r="L143" s="278"/>
      <c r="M143" s="262" t="s">
        <v>612</v>
      </c>
      <c r="O143">
        <v>15.3</v>
      </c>
      <c r="P143">
        <v>14.6</v>
      </c>
      <c r="Q143">
        <v>1.1000000000000001</v>
      </c>
    </row>
    <row r="144" spans="1:17" x14ac:dyDescent="0.25">
      <c r="A144" s="623"/>
      <c r="B144" s="625"/>
      <c r="C144" s="257" t="s">
        <v>615</v>
      </c>
      <c r="D144" s="258" t="s">
        <v>553</v>
      </c>
      <c r="E144" s="258" t="e">
        <f>VLOOKUP(C144,#REF!,3,0)</f>
        <v>#REF!</v>
      </c>
      <c r="F144" s="263">
        <v>34.5</v>
      </c>
      <c r="G144" s="260">
        <v>32.9</v>
      </c>
      <c r="H144" s="261">
        <v>2.6</v>
      </c>
      <c r="I144" s="367" t="e">
        <f t="shared" si="19"/>
        <v>#REF!</v>
      </c>
      <c r="J144" s="367" t="e">
        <f t="shared" si="20"/>
        <v>#REF!</v>
      </c>
      <c r="K144" s="367" t="e">
        <f t="shared" si="21"/>
        <v>#REF!</v>
      </c>
      <c r="L144" s="278"/>
      <c r="M144" s="262" t="s">
        <v>612</v>
      </c>
      <c r="O144">
        <v>34.5</v>
      </c>
      <c r="P144">
        <v>32.9</v>
      </c>
      <c r="Q144">
        <v>2.6</v>
      </c>
    </row>
    <row r="145" spans="1:17" x14ac:dyDescent="0.25">
      <c r="A145" s="623"/>
      <c r="B145" s="625"/>
      <c r="C145" s="257" t="s">
        <v>616</v>
      </c>
      <c r="D145" s="258" t="s">
        <v>419</v>
      </c>
      <c r="E145" s="258" t="e">
        <f>VLOOKUP(C145,#REF!,3,0)</f>
        <v>#REF!</v>
      </c>
      <c r="F145" s="263">
        <v>54.8</v>
      </c>
      <c r="G145" s="260">
        <v>45.2</v>
      </c>
      <c r="H145" s="261">
        <v>4.5999999999999996</v>
      </c>
      <c r="I145" s="367" t="e">
        <f t="shared" si="19"/>
        <v>#REF!</v>
      </c>
      <c r="J145" s="367" t="e">
        <f t="shared" si="20"/>
        <v>#REF!</v>
      </c>
      <c r="K145" s="367" t="e">
        <f t="shared" si="21"/>
        <v>#REF!</v>
      </c>
      <c r="L145" s="278"/>
      <c r="M145" s="262" t="s">
        <v>617</v>
      </c>
      <c r="O145">
        <v>54.8</v>
      </c>
      <c r="P145">
        <v>45.2</v>
      </c>
      <c r="Q145">
        <v>4.5999999999999996</v>
      </c>
    </row>
    <row r="146" spans="1:17" x14ac:dyDescent="0.25">
      <c r="A146" s="623"/>
      <c r="B146" s="625"/>
      <c r="C146" s="257" t="s">
        <v>618</v>
      </c>
      <c r="D146" s="258" t="s">
        <v>553</v>
      </c>
      <c r="E146" s="258" t="e">
        <f>VLOOKUP(C146,#REF!,3,0)</f>
        <v>#REF!</v>
      </c>
      <c r="F146" s="263">
        <v>55</v>
      </c>
      <c r="G146" s="260">
        <v>45.4</v>
      </c>
      <c r="H146" s="261">
        <v>4.5999999999999996</v>
      </c>
      <c r="I146" s="367" t="e">
        <f t="shared" si="19"/>
        <v>#REF!</v>
      </c>
      <c r="J146" s="367" t="e">
        <f t="shared" si="20"/>
        <v>#REF!</v>
      </c>
      <c r="K146" s="367" t="e">
        <f t="shared" si="21"/>
        <v>#REF!</v>
      </c>
      <c r="L146" s="278"/>
      <c r="M146" s="262" t="s">
        <v>617</v>
      </c>
      <c r="O146">
        <v>55</v>
      </c>
      <c r="P146">
        <v>45.4</v>
      </c>
      <c r="Q146">
        <v>4.5999999999999996</v>
      </c>
    </row>
    <row r="147" spans="1:17" x14ac:dyDescent="0.25">
      <c r="A147" s="623"/>
      <c r="B147" s="625"/>
      <c r="C147" s="257" t="s">
        <v>619</v>
      </c>
      <c r="D147" s="258" t="s">
        <v>553</v>
      </c>
      <c r="E147" s="258" t="e">
        <f>VLOOKUP(C147,#REF!,3,0)</f>
        <v>#REF!</v>
      </c>
      <c r="F147" s="263">
        <v>172</v>
      </c>
      <c r="G147" s="260">
        <v>142</v>
      </c>
      <c r="H147" s="261">
        <v>14.5</v>
      </c>
      <c r="I147" s="367" t="e">
        <f t="shared" si="19"/>
        <v>#REF!</v>
      </c>
      <c r="J147" s="367" t="e">
        <f t="shared" si="20"/>
        <v>#REF!</v>
      </c>
      <c r="K147" s="367" t="e">
        <f t="shared" si="21"/>
        <v>#REF!</v>
      </c>
      <c r="L147" s="278"/>
      <c r="M147" s="262" t="s">
        <v>617</v>
      </c>
      <c r="O147">
        <v>172</v>
      </c>
      <c r="P147">
        <v>142</v>
      </c>
      <c r="Q147">
        <v>14.5</v>
      </c>
    </row>
    <row r="148" spans="1:17" x14ac:dyDescent="0.25">
      <c r="A148" s="623"/>
      <c r="B148" s="625"/>
      <c r="C148" s="257" t="s">
        <v>620</v>
      </c>
      <c r="D148" s="258" t="s">
        <v>553</v>
      </c>
      <c r="E148" s="258" t="e">
        <f>VLOOKUP(C148,#REF!,3,0)</f>
        <v>#REF!</v>
      </c>
      <c r="F148" s="263">
        <v>688</v>
      </c>
      <c r="G148" s="260">
        <v>568</v>
      </c>
      <c r="H148" s="261">
        <v>57.8</v>
      </c>
      <c r="I148" s="367" t="e">
        <f t="shared" si="19"/>
        <v>#REF!</v>
      </c>
      <c r="J148" s="367" t="e">
        <f t="shared" si="20"/>
        <v>#REF!</v>
      </c>
      <c r="K148" s="367" t="e">
        <f t="shared" si="21"/>
        <v>#REF!</v>
      </c>
      <c r="L148" s="278"/>
      <c r="M148" s="262" t="s">
        <v>617</v>
      </c>
      <c r="O148">
        <v>688</v>
      </c>
      <c r="P148">
        <v>568</v>
      </c>
      <c r="Q148">
        <v>57.8</v>
      </c>
    </row>
    <row r="149" spans="1:17" x14ac:dyDescent="0.25">
      <c r="A149" s="623"/>
      <c r="B149" s="625"/>
      <c r="C149" s="257" t="s">
        <v>621</v>
      </c>
      <c r="D149" s="258" t="s">
        <v>419</v>
      </c>
      <c r="E149" s="258" t="e">
        <f>VLOOKUP(C149,#REF!,3,0)</f>
        <v>#REF!</v>
      </c>
      <c r="F149" s="263">
        <v>29.5</v>
      </c>
      <c r="G149" s="260">
        <v>44.3</v>
      </c>
      <c r="H149" s="261">
        <v>2.1</v>
      </c>
      <c r="I149" s="367" t="e">
        <f t="shared" si="19"/>
        <v>#REF!</v>
      </c>
      <c r="J149" s="367" t="e">
        <f t="shared" si="20"/>
        <v>#REF!</v>
      </c>
      <c r="K149" s="367" t="e">
        <f t="shared" si="21"/>
        <v>#REF!</v>
      </c>
      <c r="L149" s="278"/>
      <c r="M149" s="262" t="s">
        <v>622</v>
      </c>
      <c r="O149">
        <v>29.5</v>
      </c>
      <c r="P149">
        <v>44.3</v>
      </c>
      <c r="Q149">
        <v>2.1</v>
      </c>
    </row>
    <row r="150" spans="1:17" x14ac:dyDescent="0.25">
      <c r="A150" s="623"/>
      <c r="B150" s="625"/>
      <c r="C150" s="257" t="s">
        <v>623</v>
      </c>
      <c r="D150" s="258" t="s">
        <v>419</v>
      </c>
      <c r="E150" s="258" t="e">
        <f>VLOOKUP(C150,#REF!,3,0)</f>
        <v>#REF!</v>
      </c>
      <c r="F150" s="263">
        <v>42.9</v>
      </c>
      <c r="G150" s="260">
        <v>78.099999999999994</v>
      </c>
      <c r="H150" s="261">
        <v>3.5</v>
      </c>
      <c r="I150" s="367" t="e">
        <f t="shared" si="19"/>
        <v>#REF!</v>
      </c>
      <c r="J150" s="367" t="e">
        <f t="shared" si="20"/>
        <v>#REF!</v>
      </c>
      <c r="K150" s="367" t="e">
        <f t="shared" si="21"/>
        <v>#REF!</v>
      </c>
      <c r="L150" s="278"/>
      <c r="M150" s="262" t="s">
        <v>624</v>
      </c>
      <c r="O150">
        <v>42.9</v>
      </c>
      <c r="P150">
        <v>78.099999999999994</v>
      </c>
      <c r="Q150">
        <v>3.5</v>
      </c>
    </row>
    <row r="151" spans="1:17" x14ac:dyDescent="0.25">
      <c r="A151" s="623"/>
      <c r="B151" s="625"/>
      <c r="C151" s="257" t="s">
        <v>625</v>
      </c>
      <c r="D151" s="258" t="s">
        <v>553</v>
      </c>
      <c r="E151" s="258" t="e">
        <f>VLOOKUP(C151,#REF!,3,0)</f>
        <v>#REF!</v>
      </c>
      <c r="F151" s="263">
        <v>51.4</v>
      </c>
      <c r="G151" s="260">
        <v>93.7</v>
      </c>
      <c r="H151" s="261">
        <v>4.2</v>
      </c>
      <c r="I151" s="367" t="e">
        <f t="shared" si="19"/>
        <v>#REF!</v>
      </c>
      <c r="J151" s="367" t="e">
        <f t="shared" si="20"/>
        <v>#REF!</v>
      </c>
      <c r="K151" s="367" t="e">
        <f t="shared" si="21"/>
        <v>#REF!</v>
      </c>
      <c r="L151" s="278"/>
      <c r="M151" s="262" t="s">
        <v>624</v>
      </c>
      <c r="O151">
        <v>51.4</v>
      </c>
      <c r="P151">
        <v>93.7</v>
      </c>
      <c r="Q151">
        <v>4.2</v>
      </c>
    </row>
    <row r="152" spans="1:17" x14ac:dyDescent="0.25">
      <c r="A152" s="623"/>
      <c r="B152" s="625"/>
      <c r="C152" s="257" t="s">
        <v>626</v>
      </c>
      <c r="D152" s="258" t="s">
        <v>553</v>
      </c>
      <c r="E152" s="258" t="e">
        <f>VLOOKUP(C152,#REF!,3,0)</f>
        <v>#REF!</v>
      </c>
      <c r="F152" s="263">
        <v>110</v>
      </c>
      <c r="G152" s="260">
        <v>199</v>
      </c>
      <c r="H152" s="261">
        <v>9</v>
      </c>
      <c r="I152" s="367" t="e">
        <f t="shared" si="19"/>
        <v>#REF!</v>
      </c>
      <c r="J152" s="367" t="e">
        <f t="shared" si="20"/>
        <v>#REF!</v>
      </c>
      <c r="K152" s="367" t="e">
        <f t="shared" si="21"/>
        <v>#REF!</v>
      </c>
      <c r="L152" s="278"/>
      <c r="M152" s="262" t="s">
        <v>624</v>
      </c>
      <c r="O152">
        <v>110</v>
      </c>
      <c r="P152">
        <v>199</v>
      </c>
      <c r="Q152">
        <v>9</v>
      </c>
    </row>
    <row r="153" spans="1:17" x14ac:dyDescent="0.25">
      <c r="A153" s="623"/>
      <c r="B153" s="625"/>
      <c r="C153" s="257" t="s">
        <v>627</v>
      </c>
      <c r="D153" s="258" t="s">
        <v>553</v>
      </c>
      <c r="E153" s="258" t="e">
        <f>VLOOKUP(C153,#REF!,3,0)</f>
        <v>#REF!</v>
      </c>
      <c r="F153" s="263">
        <v>359</v>
      </c>
      <c r="G153" s="260">
        <v>654</v>
      </c>
      <c r="H153" s="261">
        <v>29.6</v>
      </c>
      <c r="I153" s="367" t="e">
        <f t="shared" si="19"/>
        <v>#REF!</v>
      </c>
      <c r="J153" s="367" t="e">
        <f t="shared" si="20"/>
        <v>#REF!</v>
      </c>
      <c r="K153" s="367" t="e">
        <f t="shared" si="21"/>
        <v>#REF!</v>
      </c>
      <c r="L153" s="278"/>
      <c r="M153" s="262" t="s">
        <v>624</v>
      </c>
      <c r="O153">
        <v>359</v>
      </c>
      <c r="P153">
        <v>654</v>
      </c>
      <c r="Q153">
        <v>29.6</v>
      </c>
    </row>
    <row r="154" spans="1:17" x14ac:dyDescent="0.25">
      <c r="A154" s="623"/>
      <c r="B154" s="625"/>
      <c r="C154" s="257" t="s">
        <v>628</v>
      </c>
      <c r="D154" s="258" t="s">
        <v>553</v>
      </c>
      <c r="E154" s="258" t="e">
        <f>VLOOKUP(C154,#REF!,3,0)</f>
        <v>#REF!</v>
      </c>
      <c r="F154" s="263">
        <v>831</v>
      </c>
      <c r="G154" s="260">
        <v>1512</v>
      </c>
      <c r="H154" s="261">
        <v>68.5</v>
      </c>
      <c r="I154" s="367" t="e">
        <f t="shared" si="19"/>
        <v>#REF!</v>
      </c>
      <c r="J154" s="367" t="e">
        <f t="shared" si="20"/>
        <v>#REF!</v>
      </c>
      <c r="K154" s="367" t="e">
        <f t="shared" si="21"/>
        <v>#REF!</v>
      </c>
      <c r="L154" s="278"/>
      <c r="M154" s="262" t="s">
        <v>624</v>
      </c>
      <c r="O154">
        <v>831</v>
      </c>
      <c r="P154">
        <v>1512</v>
      </c>
      <c r="Q154">
        <v>68.5</v>
      </c>
    </row>
    <row r="155" spans="1:17" x14ac:dyDescent="0.25">
      <c r="A155" s="623"/>
      <c r="B155" s="625"/>
      <c r="C155" s="257" t="s">
        <v>629</v>
      </c>
      <c r="D155" s="258" t="s">
        <v>419</v>
      </c>
      <c r="E155" s="258" t="e">
        <f>VLOOKUP(C155,#REF!,3,0)</f>
        <v>#REF!</v>
      </c>
      <c r="F155" s="263">
        <v>79.599999999999994</v>
      </c>
      <c r="G155" s="260">
        <v>73.400000000000006</v>
      </c>
      <c r="H155" s="261">
        <v>5.5</v>
      </c>
      <c r="I155" s="367" t="e">
        <f t="shared" si="19"/>
        <v>#REF!</v>
      </c>
      <c r="J155" s="367" t="e">
        <f t="shared" si="20"/>
        <v>#REF!</v>
      </c>
      <c r="K155" s="367" t="e">
        <f t="shared" si="21"/>
        <v>#REF!</v>
      </c>
      <c r="L155" s="278"/>
      <c r="M155" s="262" t="s">
        <v>630</v>
      </c>
      <c r="O155">
        <v>79.599999999999994</v>
      </c>
      <c r="P155">
        <v>73.400000000000006</v>
      </c>
      <c r="Q155">
        <v>5.5</v>
      </c>
    </row>
    <row r="156" spans="1:17" x14ac:dyDescent="0.25">
      <c r="A156" s="623"/>
      <c r="B156" s="625"/>
      <c r="C156" s="257" t="s">
        <v>631</v>
      </c>
      <c r="D156" s="258" t="s">
        <v>461</v>
      </c>
      <c r="E156" s="258" t="e">
        <f>VLOOKUP(C156,#REF!,3,0)</f>
        <v>#REF!</v>
      </c>
      <c r="F156" s="263">
        <v>293</v>
      </c>
      <c r="G156" s="260">
        <v>286</v>
      </c>
      <c r="H156" s="261">
        <v>24.9</v>
      </c>
      <c r="I156" s="367" t="e">
        <f t="shared" si="19"/>
        <v>#REF!</v>
      </c>
      <c r="J156" s="367" t="e">
        <f t="shared" si="20"/>
        <v>#REF!</v>
      </c>
      <c r="K156" s="367" t="e">
        <f t="shared" si="21"/>
        <v>#REF!</v>
      </c>
      <c r="L156" s="278"/>
      <c r="M156" s="262" t="s">
        <v>630</v>
      </c>
      <c r="O156">
        <v>293</v>
      </c>
      <c r="P156">
        <v>286</v>
      </c>
      <c r="Q156">
        <v>24.9</v>
      </c>
    </row>
    <row r="157" spans="1:17" x14ac:dyDescent="0.25">
      <c r="A157" s="623"/>
      <c r="B157" s="625"/>
      <c r="C157" s="257" t="s">
        <v>632</v>
      </c>
      <c r="D157" s="258" t="s">
        <v>461</v>
      </c>
      <c r="E157" s="258" t="e">
        <f>VLOOKUP(C157,#REF!,3,0)</f>
        <v>#REF!</v>
      </c>
      <c r="F157" s="259">
        <v>259</v>
      </c>
      <c r="G157" s="260">
        <v>239</v>
      </c>
      <c r="H157" s="261">
        <v>17.899999999999999</v>
      </c>
      <c r="I157" s="367" t="e">
        <f t="shared" si="19"/>
        <v>#REF!</v>
      </c>
      <c r="J157" s="367" t="e">
        <f t="shared" si="20"/>
        <v>#REF!</v>
      </c>
      <c r="K157" s="367" t="e">
        <f t="shared" si="21"/>
        <v>#REF!</v>
      </c>
      <c r="L157" s="278"/>
      <c r="M157" s="262" t="s">
        <v>630</v>
      </c>
      <c r="O157">
        <v>259</v>
      </c>
      <c r="P157">
        <v>239</v>
      </c>
      <c r="Q157">
        <v>17.899999999999999</v>
      </c>
    </row>
    <row r="158" spans="1:17" x14ac:dyDescent="0.25">
      <c r="A158" s="623" t="s">
        <v>633</v>
      </c>
      <c r="B158" s="264" t="s">
        <v>634</v>
      </c>
      <c r="C158" s="302" t="s">
        <v>634</v>
      </c>
      <c r="D158" s="303" t="s">
        <v>419</v>
      </c>
      <c r="E158" s="303"/>
      <c r="F158" s="304">
        <v>4.2</v>
      </c>
      <c r="G158" s="305">
        <v>2.9</v>
      </c>
      <c r="H158" s="306">
        <v>0.2</v>
      </c>
      <c r="I158" s="367"/>
      <c r="J158" s="367"/>
      <c r="K158" s="367"/>
      <c r="L158" s="278"/>
      <c r="M158" s="262" t="s">
        <v>635</v>
      </c>
      <c r="O158">
        <v>4.2</v>
      </c>
      <c r="P158">
        <v>2.9</v>
      </c>
      <c r="Q158">
        <v>0.2</v>
      </c>
    </row>
    <row r="159" spans="1:17" x14ac:dyDescent="0.25">
      <c r="A159" s="624"/>
      <c r="B159" s="625" t="s">
        <v>636</v>
      </c>
      <c r="C159" s="257" t="s">
        <v>637</v>
      </c>
      <c r="D159" s="258" t="s">
        <v>461</v>
      </c>
      <c r="E159" s="258" t="e">
        <f>VLOOKUP(C159,#REF!,3,0)</f>
        <v>#REF!</v>
      </c>
      <c r="F159" s="263">
        <v>465</v>
      </c>
      <c r="G159" s="260">
        <v>1149</v>
      </c>
      <c r="H159" s="261">
        <v>31.2</v>
      </c>
      <c r="I159" s="367" t="e">
        <f t="shared" ref="I159" si="22">_xlfn.IFNA($E159*F159,0)</f>
        <v>#REF!</v>
      </c>
      <c r="J159" s="367" t="e">
        <f t="shared" ref="J159" si="23">_xlfn.IFNA($E159*G159,0)</f>
        <v>#REF!</v>
      </c>
      <c r="K159" s="367" t="e">
        <f t="shared" ref="K159" si="24">_xlfn.IFNA($E159*H159,0)</f>
        <v>#REF!</v>
      </c>
      <c r="L159" s="278"/>
      <c r="M159" s="262" t="s">
        <v>638</v>
      </c>
      <c r="O159">
        <v>465</v>
      </c>
      <c r="P159">
        <v>1149</v>
      </c>
      <c r="Q159">
        <v>31.2</v>
      </c>
    </row>
    <row r="160" spans="1:17" x14ac:dyDescent="0.25">
      <c r="A160" s="624"/>
      <c r="B160" s="626"/>
      <c r="C160" s="257" t="s">
        <v>639</v>
      </c>
      <c r="D160" s="258" t="s">
        <v>461</v>
      </c>
      <c r="E160" s="258" t="e">
        <f>VLOOKUP(C160,#REF!,3,0)</f>
        <v>#REF!</v>
      </c>
      <c r="F160" s="263">
        <v>785</v>
      </c>
      <c r="G160" s="260">
        <v>1866</v>
      </c>
      <c r="H160" s="261">
        <v>55.3</v>
      </c>
      <c r="I160" s="367" t="e">
        <f t="shared" ref="I160:I166" si="25">_xlfn.IFNA($E160*F160,0)</f>
        <v>#REF!</v>
      </c>
      <c r="J160" s="367" t="e">
        <f t="shared" ref="J160:J166" si="26">_xlfn.IFNA($E160*G160,0)</f>
        <v>#REF!</v>
      </c>
      <c r="K160" s="367" t="e">
        <f t="shared" ref="K160:K166" si="27">_xlfn.IFNA($E160*H160,0)</f>
        <v>#REF!</v>
      </c>
      <c r="L160" s="278"/>
      <c r="M160" s="262" t="s">
        <v>638</v>
      </c>
      <c r="O160">
        <v>785</v>
      </c>
      <c r="P160">
        <v>1866</v>
      </c>
      <c r="Q160">
        <v>55.3</v>
      </c>
    </row>
    <row r="161" spans="1:17" x14ac:dyDescent="0.25">
      <c r="A161" s="624"/>
      <c r="B161" s="626"/>
      <c r="C161" s="257" t="s">
        <v>640</v>
      </c>
      <c r="D161" s="258" t="s">
        <v>461</v>
      </c>
      <c r="E161" s="258" t="e">
        <f>VLOOKUP(C161,#REF!,3,0)</f>
        <v>#REF!</v>
      </c>
      <c r="F161" s="263">
        <v>484</v>
      </c>
      <c r="G161" s="260">
        <v>1161</v>
      </c>
      <c r="H161" s="261">
        <v>33.299999999999997</v>
      </c>
      <c r="I161" s="367" t="e">
        <f t="shared" si="25"/>
        <v>#REF!</v>
      </c>
      <c r="J161" s="367" t="e">
        <f t="shared" si="26"/>
        <v>#REF!</v>
      </c>
      <c r="K161" s="367" t="e">
        <f t="shared" si="27"/>
        <v>#REF!</v>
      </c>
      <c r="L161" s="278"/>
      <c r="M161" s="262" t="s">
        <v>638</v>
      </c>
      <c r="O161">
        <v>484</v>
      </c>
      <c r="P161">
        <v>1161</v>
      </c>
      <c r="Q161">
        <v>33.299999999999997</v>
      </c>
    </row>
    <row r="162" spans="1:17" x14ac:dyDescent="0.25">
      <c r="A162" s="624"/>
      <c r="B162" s="626"/>
      <c r="C162" s="257" t="s">
        <v>641</v>
      </c>
      <c r="D162" s="258" t="s">
        <v>461</v>
      </c>
      <c r="E162" s="258" t="e">
        <f>VLOOKUP(C162,#REF!,3,0)</f>
        <v>#REF!</v>
      </c>
      <c r="F162" s="263">
        <v>364</v>
      </c>
      <c r="G162" s="260">
        <v>908</v>
      </c>
      <c r="H162" s="261">
        <v>23.9</v>
      </c>
      <c r="I162" s="367" t="e">
        <f t="shared" si="25"/>
        <v>#REF!</v>
      </c>
      <c r="J162" s="367" t="e">
        <f t="shared" si="26"/>
        <v>#REF!</v>
      </c>
      <c r="K162" s="367" t="e">
        <f t="shared" si="27"/>
        <v>#REF!</v>
      </c>
      <c r="L162" s="278"/>
      <c r="M162" s="262" t="s">
        <v>638</v>
      </c>
      <c r="O162">
        <v>364</v>
      </c>
      <c r="P162">
        <v>908</v>
      </c>
      <c r="Q162">
        <v>23.9</v>
      </c>
    </row>
    <row r="163" spans="1:17" x14ac:dyDescent="0.25">
      <c r="A163" s="624"/>
      <c r="B163" s="626"/>
      <c r="C163" s="257" t="s">
        <v>642</v>
      </c>
      <c r="D163" s="258" t="s">
        <v>461</v>
      </c>
      <c r="E163" s="258" t="e">
        <f>VLOOKUP(C163,#REF!,3,0)</f>
        <v>#REF!</v>
      </c>
      <c r="F163" s="263">
        <v>376</v>
      </c>
      <c r="G163" s="260">
        <v>911</v>
      </c>
      <c r="H163" s="261">
        <v>24.8</v>
      </c>
      <c r="I163" s="367" t="e">
        <f t="shared" si="25"/>
        <v>#REF!</v>
      </c>
      <c r="J163" s="367" t="e">
        <f t="shared" si="26"/>
        <v>#REF!</v>
      </c>
      <c r="K163" s="367" t="e">
        <f t="shared" si="27"/>
        <v>#REF!</v>
      </c>
      <c r="L163" s="278"/>
      <c r="M163" s="262" t="s">
        <v>638</v>
      </c>
      <c r="O163">
        <v>376</v>
      </c>
      <c r="P163">
        <v>911</v>
      </c>
      <c r="Q163">
        <v>24.8</v>
      </c>
    </row>
    <row r="164" spans="1:17" x14ac:dyDescent="0.25">
      <c r="A164" s="624"/>
      <c r="B164" s="626"/>
      <c r="C164" s="257" t="s">
        <v>643</v>
      </c>
      <c r="D164" s="258" t="s">
        <v>461</v>
      </c>
      <c r="E164" s="258" t="e">
        <f>VLOOKUP(C164,#REF!,3,0)</f>
        <v>#REF!</v>
      </c>
      <c r="F164" s="263">
        <v>360</v>
      </c>
      <c r="G164" s="260">
        <v>1343</v>
      </c>
      <c r="H164" s="261">
        <v>41</v>
      </c>
      <c r="I164" s="367" t="e">
        <f t="shared" si="25"/>
        <v>#REF!</v>
      </c>
      <c r="J164" s="367" t="e">
        <f t="shared" si="26"/>
        <v>#REF!</v>
      </c>
      <c r="K164" s="367" t="e">
        <f t="shared" si="27"/>
        <v>#REF!</v>
      </c>
      <c r="L164" s="278"/>
      <c r="M164" s="262" t="s">
        <v>644</v>
      </c>
      <c r="O164">
        <v>360</v>
      </c>
      <c r="P164">
        <v>1343</v>
      </c>
      <c r="Q164">
        <v>41</v>
      </c>
    </row>
    <row r="165" spans="1:17" x14ac:dyDescent="0.25">
      <c r="A165" s="624"/>
      <c r="B165" s="626"/>
      <c r="C165" s="257" t="s">
        <v>645</v>
      </c>
      <c r="D165" s="258" t="s">
        <v>461</v>
      </c>
      <c r="E165" s="258" t="e">
        <f>VLOOKUP(C165,#REF!,3,0)</f>
        <v>#REF!</v>
      </c>
      <c r="F165" s="263">
        <v>509</v>
      </c>
      <c r="G165" s="260">
        <v>1945</v>
      </c>
      <c r="H165" s="261">
        <v>64.2</v>
      </c>
      <c r="I165" s="367" t="e">
        <f t="shared" si="25"/>
        <v>#REF!</v>
      </c>
      <c r="J165" s="367" t="e">
        <f t="shared" si="26"/>
        <v>#REF!</v>
      </c>
      <c r="K165" s="367" t="e">
        <f t="shared" si="27"/>
        <v>#REF!</v>
      </c>
      <c r="L165" s="278"/>
      <c r="M165" s="262" t="s">
        <v>644</v>
      </c>
      <c r="O165">
        <v>509</v>
      </c>
      <c r="P165">
        <v>1945</v>
      </c>
      <c r="Q165">
        <v>64.2</v>
      </c>
    </row>
    <row r="166" spans="1:17" x14ac:dyDescent="0.25">
      <c r="A166" s="624"/>
      <c r="B166" s="626"/>
      <c r="C166" s="257" t="s">
        <v>646</v>
      </c>
      <c r="D166" s="258" t="s">
        <v>461</v>
      </c>
      <c r="E166" s="258" t="e">
        <f>VLOOKUP(C166,#REF!,3,0)</f>
        <v>#REF!</v>
      </c>
      <c r="F166" s="263">
        <v>407</v>
      </c>
      <c r="G166" s="260">
        <v>1545</v>
      </c>
      <c r="H166" s="261">
        <v>49.1</v>
      </c>
      <c r="I166" s="367" t="e">
        <f t="shared" si="25"/>
        <v>#REF!</v>
      </c>
      <c r="J166" s="367" t="e">
        <f t="shared" si="26"/>
        <v>#REF!</v>
      </c>
      <c r="K166" s="367" t="e">
        <f t="shared" si="27"/>
        <v>#REF!</v>
      </c>
      <c r="L166" s="278"/>
      <c r="M166" s="262" t="s">
        <v>644</v>
      </c>
      <c r="O166">
        <v>407</v>
      </c>
      <c r="P166">
        <v>1545</v>
      </c>
      <c r="Q166">
        <v>49.1</v>
      </c>
    </row>
    <row r="167" spans="1:17" x14ac:dyDescent="0.25">
      <c r="A167" s="624"/>
      <c r="B167" s="264" t="s">
        <v>634</v>
      </c>
      <c r="C167" s="257" t="s">
        <v>634</v>
      </c>
      <c r="D167" s="258" t="s">
        <v>419</v>
      </c>
      <c r="E167" s="258" t="e">
        <f>VLOOKUP(C167,#REF!,3,0)</f>
        <v>#REF!</v>
      </c>
      <c r="F167" s="263">
        <v>4.2</v>
      </c>
      <c r="G167" s="260">
        <v>2.9</v>
      </c>
      <c r="H167" s="261">
        <v>0.2</v>
      </c>
      <c r="I167" s="367" t="e">
        <f t="shared" ref="I167:I171" si="28">_xlfn.IFNA($E167*F167,0)</f>
        <v>#REF!</v>
      </c>
      <c r="J167" s="367" t="e">
        <f t="shared" ref="J167:J171" si="29">_xlfn.IFNA($E167*G167,0)</f>
        <v>#REF!</v>
      </c>
      <c r="K167" s="367" t="e">
        <f t="shared" ref="K167:K171" si="30">_xlfn.IFNA($E167*H167,0)</f>
        <v>#REF!</v>
      </c>
      <c r="L167" s="278"/>
      <c r="M167" s="262"/>
    </row>
    <row r="168" spans="1:17" x14ac:dyDescent="0.25">
      <c r="A168" s="624"/>
      <c r="B168" s="625" t="s">
        <v>527</v>
      </c>
      <c r="C168" s="257" t="s">
        <v>647</v>
      </c>
      <c r="D168" s="258" t="s">
        <v>419</v>
      </c>
      <c r="E168" s="258" t="e">
        <f>VLOOKUP(C168,#REF!,3,0)</f>
        <v>#REF!</v>
      </c>
      <c r="F168" s="263">
        <v>224</v>
      </c>
      <c r="G168" s="260">
        <v>589</v>
      </c>
      <c r="H168" s="261">
        <v>13.8</v>
      </c>
      <c r="I168" s="367" t="e">
        <f t="shared" si="28"/>
        <v>#REF!</v>
      </c>
      <c r="J168" s="367" t="e">
        <f t="shared" si="29"/>
        <v>#REF!</v>
      </c>
      <c r="K168" s="367" t="e">
        <f t="shared" si="30"/>
        <v>#REF!</v>
      </c>
      <c r="L168" s="278"/>
      <c r="M168" s="262" t="s">
        <v>648</v>
      </c>
      <c r="O168">
        <v>224</v>
      </c>
      <c r="P168">
        <v>589</v>
      </c>
      <c r="Q168">
        <v>13.8</v>
      </c>
    </row>
    <row r="169" spans="1:17" x14ac:dyDescent="0.25">
      <c r="A169" s="624"/>
      <c r="B169" s="626"/>
      <c r="C169" s="257" t="s">
        <v>649</v>
      </c>
      <c r="D169" s="258" t="s">
        <v>422</v>
      </c>
      <c r="E169" s="258" t="e">
        <f>VLOOKUP(C169,#REF!,3,0)</f>
        <v>#REF!</v>
      </c>
      <c r="F169" s="263">
        <v>24537</v>
      </c>
      <c r="G169" s="260">
        <v>30097</v>
      </c>
      <c r="H169" s="261">
        <v>1863</v>
      </c>
      <c r="I169" s="367" t="e">
        <f t="shared" si="28"/>
        <v>#REF!</v>
      </c>
      <c r="J169" s="367" t="e">
        <f t="shared" si="29"/>
        <v>#REF!</v>
      </c>
      <c r="K169" s="367" t="e">
        <f t="shared" si="30"/>
        <v>#REF!</v>
      </c>
      <c r="L169" s="278"/>
      <c r="M169" s="262" t="s">
        <v>650</v>
      </c>
      <c r="O169">
        <v>24537</v>
      </c>
      <c r="P169">
        <v>30097</v>
      </c>
      <c r="Q169">
        <v>1863</v>
      </c>
    </row>
    <row r="170" spans="1:17" x14ac:dyDescent="0.25">
      <c r="A170" s="624"/>
      <c r="B170" s="626"/>
      <c r="C170" s="257" t="s">
        <v>651</v>
      </c>
      <c r="D170" s="258" t="s">
        <v>419</v>
      </c>
      <c r="E170" s="258" t="e">
        <f>VLOOKUP(C170,#REF!,3,0)</f>
        <v>#REF!</v>
      </c>
      <c r="F170" s="263">
        <v>1.7000000000000001E-2</v>
      </c>
      <c r="G170" s="260">
        <v>1</v>
      </c>
      <c r="H170" s="261">
        <v>1E-3</v>
      </c>
      <c r="I170" s="367" t="e">
        <f t="shared" si="28"/>
        <v>#REF!</v>
      </c>
      <c r="J170" s="367" t="e">
        <f t="shared" si="29"/>
        <v>#REF!</v>
      </c>
      <c r="K170" s="367" t="e">
        <f t="shared" si="30"/>
        <v>#REF!</v>
      </c>
      <c r="L170" s="278"/>
      <c r="M170" s="262" t="s">
        <v>652</v>
      </c>
      <c r="O170">
        <v>1.7000000000000001E-2</v>
      </c>
      <c r="P170">
        <v>1</v>
      </c>
      <c r="Q170">
        <v>1E-3</v>
      </c>
    </row>
    <row r="171" spans="1:17" x14ac:dyDescent="0.25">
      <c r="A171" s="624"/>
      <c r="B171" s="626"/>
      <c r="C171" s="257" t="s">
        <v>653</v>
      </c>
      <c r="D171" s="258" t="s">
        <v>419</v>
      </c>
      <c r="E171" s="258" t="e">
        <f>VLOOKUP(C171,#REF!,3,0)</f>
        <v>#REF!</v>
      </c>
      <c r="F171" s="263">
        <v>106</v>
      </c>
      <c r="G171" s="260">
        <v>171</v>
      </c>
      <c r="H171" s="261">
        <v>5.4</v>
      </c>
      <c r="I171" s="367" t="e">
        <f t="shared" si="28"/>
        <v>#REF!</v>
      </c>
      <c r="J171" s="367" t="e">
        <f t="shared" si="29"/>
        <v>#REF!</v>
      </c>
      <c r="K171" s="367" t="e">
        <f t="shared" si="30"/>
        <v>#REF!</v>
      </c>
      <c r="L171" s="278"/>
      <c r="M171" s="262" t="s">
        <v>654</v>
      </c>
      <c r="O171">
        <v>106</v>
      </c>
      <c r="P171">
        <v>171</v>
      </c>
      <c r="Q171">
        <v>5.4</v>
      </c>
    </row>
    <row r="172" spans="1:17" x14ac:dyDescent="0.25">
      <c r="A172" s="624"/>
      <c r="B172" s="625" t="s">
        <v>655</v>
      </c>
      <c r="C172" s="257" t="s">
        <v>656</v>
      </c>
      <c r="D172" s="258" t="s">
        <v>419</v>
      </c>
      <c r="E172" s="258" t="e">
        <f>VLOOKUP(C172,#REF!,3,0)</f>
        <v>#REF!</v>
      </c>
      <c r="F172" s="263">
        <v>124</v>
      </c>
      <c r="G172" s="260">
        <v>197</v>
      </c>
      <c r="H172" s="261">
        <v>6.3</v>
      </c>
      <c r="I172" s="367" t="e">
        <f t="shared" ref="I172" si="31">_xlfn.IFNA($E172*F172,0)</f>
        <v>#REF!</v>
      </c>
      <c r="J172" s="367" t="e">
        <f t="shared" ref="J172" si="32">_xlfn.IFNA($E172*G172,0)</f>
        <v>#REF!</v>
      </c>
      <c r="K172" s="367" t="e">
        <f t="shared" ref="K172" si="33">_xlfn.IFNA($E172*H172,0)</f>
        <v>#REF!</v>
      </c>
      <c r="L172" s="278"/>
      <c r="M172" s="262" t="s">
        <v>657</v>
      </c>
      <c r="O172">
        <v>124</v>
      </c>
      <c r="P172">
        <v>197</v>
      </c>
      <c r="Q172">
        <v>6.3</v>
      </c>
    </row>
    <row r="173" spans="1:17" x14ac:dyDescent="0.25">
      <c r="A173" s="624"/>
      <c r="B173" s="626"/>
      <c r="C173" s="257" t="s">
        <v>658</v>
      </c>
      <c r="D173" s="258" t="s">
        <v>461</v>
      </c>
      <c r="E173" s="258" t="e">
        <f>VLOOKUP(C173,#REF!,3,0)</f>
        <v>#REF!</v>
      </c>
      <c r="F173" s="263">
        <v>9.3000000000000007</v>
      </c>
      <c r="G173" s="260">
        <v>14.7</v>
      </c>
      <c r="H173" s="261">
        <v>0.47</v>
      </c>
      <c r="I173" s="367" t="e">
        <f t="shared" ref="I173:I179" si="34">_xlfn.IFNA($E173*F173,0)</f>
        <v>#REF!</v>
      </c>
      <c r="J173" s="367" t="e">
        <f t="shared" ref="J173:J179" si="35">_xlfn.IFNA($E173*G173,0)</f>
        <v>#REF!</v>
      </c>
      <c r="K173" s="367" t="e">
        <f t="shared" ref="K173:K179" si="36">_xlfn.IFNA($E173*H173,0)</f>
        <v>#REF!</v>
      </c>
      <c r="L173" s="278"/>
      <c r="M173" s="262" t="s">
        <v>657</v>
      </c>
      <c r="O173">
        <v>9.3000000000000007</v>
      </c>
      <c r="P173">
        <v>14.7</v>
      </c>
      <c r="Q173">
        <v>0.47</v>
      </c>
    </row>
    <row r="174" spans="1:17" x14ac:dyDescent="0.25">
      <c r="A174" s="624"/>
      <c r="B174" s="626"/>
      <c r="C174" s="257" t="s">
        <v>659</v>
      </c>
      <c r="D174" s="258" t="s">
        <v>419</v>
      </c>
      <c r="E174" s="258" t="e">
        <f>VLOOKUP(C174,#REF!,3,0)</f>
        <v>#REF!</v>
      </c>
      <c r="F174" s="263">
        <v>111</v>
      </c>
      <c r="G174" s="260">
        <v>206</v>
      </c>
      <c r="H174" s="261">
        <v>6.8</v>
      </c>
      <c r="I174" s="367" t="e">
        <f t="shared" si="34"/>
        <v>#REF!</v>
      </c>
      <c r="J174" s="367" t="e">
        <f t="shared" si="35"/>
        <v>#REF!</v>
      </c>
      <c r="K174" s="367" t="e">
        <f t="shared" si="36"/>
        <v>#REF!</v>
      </c>
      <c r="L174" s="278"/>
      <c r="M174" s="262" t="s">
        <v>660</v>
      </c>
      <c r="O174">
        <v>111</v>
      </c>
      <c r="P174">
        <v>206</v>
      </c>
      <c r="Q174">
        <v>6.8</v>
      </c>
    </row>
    <row r="175" spans="1:17" x14ac:dyDescent="0.25">
      <c r="A175" s="624"/>
      <c r="B175" s="626"/>
      <c r="C175" s="257" t="s">
        <v>661</v>
      </c>
      <c r="D175" s="258" t="s">
        <v>461</v>
      </c>
      <c r="E175" s="258" t="e">
        <f>VLOOKUP(C175,#REF!,3,0)</f>
        <v>#REF!</v>
      </c>
      <c r="F175" s="263">
        <v>8.6999999999999993</v>
      </c>
      <c r="G175" s="260">
        <v>16.100000000000001</v>
      </c>
      <c r="H175" s="261">
        <v>0.53</v>
      </c>
      <c r="I175" s="367" t="e">
        <f t="shared" si="34"/>
        <v>#REF!</v>
      </c>
      <c r="J175" s="367" t="e">
        <f t="shared" si="35"/>
        <v>#REF!</v>
      </c>
      <c r="K175" s="367" t="e">
        <f t="shared" si="36"/>
        <v>#REF!</v>
      </c>
      <c r="L175" s="278"/>
      <c r="M175" s="262" t="s">
        <v>660</v>
      </c>
      <c r="O175">
        <v>8.6999999999999993</v>
      </c>
      <c r="P175">
        <v>16.100000000000001</v>
      </c>
      <c r="Q175">
        <v>0.53</v>
      </c>
    </row>
    <row r="176" spans="1:17" x14ac:dyDescent="0.25">
      <c r="A176" s="624"/>
      <c r="B176" s="625" t="s">
        <v>662</v>
      </c>
      <c r="C176" s="257" t="s">
        <v>663</v>
      </c>
      <c r="D176" s="258" t="s">
        <v>419</v>
      </c>
      <c r="E176" s="258" t="e">
        <f>VLOOKUP(C176,#REF!,3,0)</f>
        <v>#REF!</v>
      </c>
      <c r="F176" s="263">
        <v>263</v>
      </c>
      <c r="G176" s="260">
        <v>448</v>
      </c>
      <c r="H176" s="261">
        <v>16</v>
      </c>
      <c r="I176" s="367" t="e">
        <f t="shared" si="34"/>
        <v>#REF!</v>
      </c>
      <c r="J176" s="367" t="e">
        <f t="shared" si="35"/>
        <v>#REF!</v>
      </c>
      <c r="K176" s="367" t="e">
        <f t="shared" si="36"/>
        <v>#REF!</v>
      </c>
      <c r="L176" s="278"/>
      <c r="M176" s="262" t="s">
        <v>664</v>
      </c>
      <c r="O176">
        <v>263</v>
      </c>
      <c r="P176">
        <v>448</v>
      </c>
      <c r="Q176">
        <v>16</v>
      </c>
    </row>
    <row r="177" spans="1:17" x14ac:dyDescent="0.25">
      <c r="A177" s="624"/>
      <c r="B177" s="626"/>
      <c r="C177" s="257" t="s">
        <v>665</v>
      </c>
      <c r="D177" s="258" t="s">
        <v>461</v>
      </c>
      <c r="E177" s="258" t="e">
        <f>VLOOKUP(C177,#REF!,3,0)</f>
        <v>#REF!</v>
      </c>
      <c r="F177" s="263">
        <v>45.5</v>
      </c>
      <c r="G177" s="260">
        <v>77.5</v>
      </c>
      <c r="H177" s="261">
        <v>2.8</v>
      </c>
      <c r="I177" s="367" t="e">
        <f t="shared" si="34"/>
        <v>#REF!</v>
      </c>
      <c r="J177" s="367" t="e">
        <f t="shared" si="35"/>
        <v>#REF!</v>
      </c>
      <c r="K177" s="367" t="e">
        <f t="shared" si="36"/>
        <v>#REF!</v>
      </c>
      <c r="L177" s="278"/>
      <c r="M177" s="262" t="s">
        <v>664</v>
      </c>
      <c r="O177">
        <v>45.5</v>
      </c>
      <c r="P177">
        <v>77.5</v>
      </c>
      <c r="Q177">
        <v>2.8</v>
      </c>
    </row>
    <row r="178" spans="1:17" x14ac:dyDescent="0.25">
      <c r="A178" s="624"/>
      <c r="B178" s="625" t="s">
        <v>666</v>
      </c>
      <c r="C178" s="257" t="s">
        <v>667</v>
      </c>
      <c r="D178" s="258" t="s">
        <v>419</v>
      </c>
      <c r="E178" s="258" t="e">
        <f>VLOOKUP(C178,#REF!,3,0)</f>
        <v>#REF!</v>
      </c>
      <c r="F178" s="263">
        <v>75.2</v>
      </c>
      <c r="G178" s="260">
        <v>92.1</v>
      </c>
      <c r="H178" s="261">
        <v>2.5</v>
      </c>
      <c r="I178" s="367" t="e">
        <f t="shared" si="34"/>
        <v>#REF!</v>
      </c>
      <c r="J178" s="367" t="e">
        <f t="shared" si="35"/>
        <v>#REF!</v>
      </c>
      <c r="K178" s="367" t="e">
        <f t="shared" si="36"/>
        <v>#REF!</v>
      </c>
      <c r="L178" s="278"/>
      <c r="M178" s="262" t="s">
        <v>668</v>
      </c>
      <c r="O178">
        <v>75.2</v>
      </c>
      <c r="P178">
        <v>92.1</v>
      </c>
      <c r="Q178">
        <v>2.5</v>
      </c>
    </row>
    <row r="179" spans="1:17" x14ac:dyDescent="0.25">
      <c r="A179" s="624"/>
      <c r="B179" s="626"/>
      <c r="C179" s="257" t="s">
        <v>669</v>
      </c>
      <c r="D179" s="258" t="s">
        <v>419</v>
      </c>
      <c r="E179" s="258" t="e">
        <f>VLOOKUP(C179,#REF!,3,0)</f>
        <v>#REF!</v>
      </c>
      <c r="F179" s="263">
        <v>92.8</v>
      </c>
      <c r="G179" s="260">
        <v>111</v>
      </c>
      <c r="H179" s="261">
        <v>3.7</v>
      </c>
      <c r="I179" s="367" t="e">
        <f t="shared" si="34"/>
        <v>#REF!</v>
      </c>
      <c r="J179" s="367" t="e">
        <f t="shared" si="35"/>
        <v>#REF!</v>
      </c>
      <c r="K179" s="367" t="e">
        <f t="shared" si="36"/>
        <v>#REF!</v>
      </c>
      <c r="L179" s="278"/>
      <c r="M179" s="262" t="s">
        <v>670</v>
      </c>
      <c r="O179">
        <v>92.8</v>
      </c>
      <c r="P179">
        <v>111</v>
      </c>
      <c r="Q179">
        <v>3.7</v>
      </c>
    </row>
    <row r="180" spans="1:17" x14ac:dyDescent="0.25">
      <c r="A180" s="623" t="s">
        <v>671</v>
      </c>
      <c r="B180" s="625" t="s">
        <v>672</v>
      </c>
      <c r="C180" s="257" t="s">
        <v>673</v>
      </c>
      <c r="D180" s="258" t="s">
        <v>419</v>
      </c>
      <c r="E180" s="258" t="e">
        <f>VLOOKUP(C180,#REF!,3,0)</f>
        <v>#REF!</v>
      </c>
      <c r="F180" s="263">
        <v>147</v>
      </c>
      <c r="G180" s="260">
        <v>172</v>
      </c>
      <c r="H180" s="261">
        <v>6.4</v>
      </c>
      <c r="I180" s="367" t="e">
        <f t="shared" ref="I180:I189" si="37">_xlfn.IFNA($E180*F180,0)</f>
        <v>#REF!</v>
      </c>
      <c r="J180" s="367" t="e">
        <f t="shared" ref="J180:J189" si="38">_xlfn.IFNA($E180*G180,0)</f>
        <v>#REF!</v>
      </c>
      <c r="K180" s="367" t="e">
        <f t="shared" ref="K180:K189" si="39">_xlfn.IFNA($E180*H180,0)</f>
        <v>#REF!</v>
      </c>
      <c r="L180" s="278"/>
      <c r="M180" s="262" t="s">
        <v>674</v>
      </c>
      <c r="O180">
        <v>147</v>
      </c>
      <c r="P180">
        <v>172</v>
      </c>
      <c r="Q180">
        <v>6.4</v>
      </c>
    </row>
    <row r="181" spans="1:17" x14ac:dyDescent="0.25">
      <c r="A181" s="624"/>
      <c r="B181" s="626"/>
      <c r="C181" s="257" t="s">
        <v>675</v>
      </c>
      <c r="D181" s="258" t="s">
        <v>461</v>
      </c>
      <c r="E181" s="258" t="e">
        <f>VLOOKUP(C181,#REF!,3,0)</f>
        <v>#REF!</v>
      </c>
      <c r="F181" s="263">
        <v>13.8</v>
      </c>
      <c r="G181" s="260">
        <v>16.2</v>
      </c>
      <c r="H181" s="261">
        <v>0.6</v>
      </c>
      <c r="I181" s="367" t="e">
        <f t="shared" si="37"/>
        <v>#REF!</v>
      </c>
      <c r="J181" s="367" t="e">
        <f t="shared" si="38"/>
        <v>#REF!</v>
      </c>
      <c r="K181" s="367" t="e">
        <f t="shared" si="39"/>
        <v>#REF!</v>
      </c>
      <c r="L181" s="278"/>
      <c r="M181" s="262" t="s">
        <v>674</v>
      </c>
      <c r="O181">
        <v>13.8</v>
      </c>
      <c r="P181">
        <v>16.2</v>
      </c>
      <c r="Q181">
        <v>0.6</v>
      </c>
    </row>
    <row r="182" spans="1:17" x14ac:dyDescent="0.25">
      <c r="A182" s="624"/>
      <c r="B182" s="626"/>
      <c r="C182" s="257" t="s">
        <v>676</v>
      </c>
      <c r="D182" s="258" t="s">
        <v>461</v>
      </c>
      <c r="E182" s="258" t="e">
        <f>VLOOKUP(C182,#REF!,3,0)</f>
        <v>#REF!</v>
      </c>
      <c r="F182" s="263">
        <v>27.6</v>
      </c>
      <c r="G182" s="260">
        <v>32.4</v>
      </c>
      <c r="H182" s="261">
        <v>1.2</v>
      </c>
      <c r="I182" s="367" t="e">
        <f t="shared" si="37"/>
        <v>#REF!</v>
      </c>
      <c r="J182" s="367" t="e">
        <f t="shared" si="38"/>
        <v>#REF!</v>
      </c>
      <c r="K182" s="367" t="e">
        <f t="shared" si="39"/>
        <v>#REF!</v>
      </c>
      <c r="L182" s="278"/>
      <c r="M182" s="262" t="s">
        <v>674</v>
      </c>
      <c r="O182">
        <v>27.6</v>
      </c>
      <c r="P182">
        <v>32.4</v>
      </c>
      <c r="Q182">
        <v>1.2</v>
      </c>
    </row>
    <row r="183" spans="1:17" x14ac:dyDescent="0.25">
      <c r="A183" s="624"/>
      <c r="B183" s="626"/>
      <c r="C183" s="257" t="s">
        <v>677</v>
      </c>
      <c r="D183" s="258" t="s">
        <v>419</v>
      </c>
      <c r="E183" s="258" t="e">
        <f>VLOOKUP(C183,#REF!,3,0)</f>
        <v>#REF!</v>
      </c>
      <c r="F183" s="263">
        <v>135</v>
      </c>
      <c r="G183" s="260">
        <v>130</v>
      </c>
      <c r="H183" s="261">
        <v>5.6</v>
      </c>
      <c r="I183" s="367" t="e">
        <f t="shared" si="37"/>
        <v>#REF!</v>
      </c>
      <c r="J183" s="367" t="e">
        <f t="shared" si="38"/>
        <v>#REF!</v>
      </c>
      <c r="K183" s="367" t="e">
        <f t="shared" si="39"/>
        <v>#REF!</v>
      </c>
      <c r="L183" s="278"/>
      <c r="M183" s="262" t="s">
        <v>678</v>
      </c>
      <c r="O183">
        <v>135</v>
      </c>
      <c r="P183">
        <v>130</v>
      </c>
      <c r="Q183">
        <v>5.6</v>
      </c>
    </row>
    <row r="184" spans="1:17" x14ac:dyDescent="0.25">
      <c r="A184" s="624"/>
      <c r="B184" s="626"/>
      <c r="C184" s="257" t="s">
        <v>679</v>
      </c>
      <c r="D184" s="258" t="s">
        <v>553</v>
      </c>
      <c r="E184" s="258" t="e">
        <f>VLOOKUP(C184,#REF!,3,0)</f>
        <v>#REF!</v>
      </c>
      <c r="F184" s="263">
        <v>12.3</v>
      </c>
      <c r="G184" s="260">
        <v>11.9</v>
      </c>
      <c r="H184" s="261">
        <v>0.51</v>
      </c>
      <c r="I184" s="367" t="e">
        <f t="shared" si="37"/>
        <v>#REF!</v>
      </c>
      <c r="J184" s="367" t="e">
        <f t="shared" si="38"/>
        <v>#REF!</v>
      </c>
      <c r="K184" s="367" t="e">
        <f t="shared" si="39"/>
        <v>#REF!</v>
      </c>
      <c r="L184" s="278"/>
      <c r="M184" s="262" t="s">
        <v>678</v>
      </c>
      <c r="O184">
        <v>12.3</v>
      </c>
      <c r="P184">
        <v>11.9</v>
      </c>
      <c r="Q184">
        <v>0.51</v>
      </c>
    </row>
    <row r="185" spans="1:17" x14ac:dyDescent="0.25">
      <c r="A185" s="624"/>
      <c r="B185" s="626"/>
      <c r="C185" s="257" t="s">
        <v>680</v>
      </c>
      <c r="D185" s="258" t="s">
        <v>553</v>
      </c>
      <c r="E185" s="258" t="e">
        <f>VLOOKUP(C185,#REF!,3,0)</f>
        <v>#REF!</v>
      </c>
      <c r="F185" s="263">
        <v>47.7</v>
      </c>
      <c r="G185" s="260">
        <v>46.1</v>
      </c>
      <c r="H185" s="261">
        <v>2</v>
      </c>
      <c r="I185" s="367" t="e">
        <f t="shared" si="37"/>
        <v>#REF!</v>
      </c>
      <c r="J185" s="367" t="e">
        <f t="shared" si="38"/>
        <v>#REF!</v>
      </c>
      <c r="K185" s="367" t="e">
        <f t="shared" si="39"/>
        <v>#REF!</v>
      </c>
      <c r="L185" s="278"/>
      <c r="M185" s="262" t="s">
        <v>678</v>
      </c>
      <c r="O185">
        <v>47.7</v>
      </c>
      <c r="P185">
        <v>46.1</v>
      </c>
      <c r="Q185">
        <v>2</v>
      </c>
    </row>
    <row r="186" spans="1:17" x14ac:dyDescent="0.25">
      <c r="A186" s="624"/>
      <c r="B186" s="626"/>
      <c r="C186" s="257" t="s">
        <v>681</v>
      </c>
      <c r="D186" s="258" t="s">
        <v>553</v>
      </c>
      <c r="E186" s="258" t="e">
        <f>VLOOKUP(C186,#REF!,3,0)</f>
        <v>#REF!</v>
      </c>
      <c r="F186" s="263">
        <v>188</v>
      </c>
      <c r="G186" s="260">
        <v>181</v>
      </c>
      <c r="H186" s="261">
        <v>7.8</v>
      </c>
      <c r="I186" s="367" t="e">
        <f t="shared" si="37"/>
        <v>#REF!</v>
      </c>
      <c r="J186" s="367" t="e">
        <f t="shared" si="38"/>
        <v>#REF!</v>
      </c>
      <c r="K186" s="367" t="e">
        <f t="shared" si="39"/>
        <v>#REF!</v>
      </c>
      <c r="L186" s="278"/>
      <c r="M186" s="262" t="s">
        <v>678</v>
      </c>
      <c r="O186">
        <v>188</v>
      </c>
      <c r="P186">
        <v>181</v>
      </c>
      <c r="Q186">
        <v>7.8</v>
      </c>
    </row>
    <row r="187" spans="1:17" x14ac:dyDescent="0.25">
      <c r="A187" s="624"/>
      <c r="B187" s="626"/>
      <c r="C187" s="257" t="s">
        <v>682</v>
      </c>
      <c r="D187" s="258" t="s">
        <v>553</v>
      </c>
      <c r="E187" s="258" t="e">
        <f>VLOOKUP(C187,#REF!,3,0)</f>
        <v>#REF!</v>
      </c>
      <c r="F187" s="263">
        <v>752</v>
      </c>
      <c r="G187" s="260">
        <v>726</v>
      </c>
      <c r="H187" s="261">
        <v>31</v>
      </c>
      <c r="I187" s="367" t="e">
        <f t="shared" si="37"/>
        <v>#REF!</v>
      </c>
      <c r="J187" s="367" t="e">
        <f t="shared" si="38"/>
        <v>#REF!</v>
      </c>
      <c r="K187" s="367" t="e">
        <f t="shared" si="39"/>
        <v>#REF!</v>
      </c>
      <c r="L187" s="278"/>
      <c r="M187" s="262" t="s">
        <v>678</v>
      </c>
      <c r="O187">
        <v>752</v>
      </c>
      <c r="P187">
        <v>726</v>
      </c>
      <c r="Q187">
        <v>31</v>
      </c>
    </row>
    <row r="188" spans="1:17" x14ac:dyDescent="0.25">
      <c r="A188" s="624"/>
      <c r="B188" s="626"/>
      <c r="C188" s="257" t="s">
        <v>683</v>
      </c>
      <c r="D188" s="258" t="s">
        <v>553</v>
      </c>
      <c r="E188" s="258" t="e">
        <f>VLOOKUP(C188,#REF!,3,0)</f>
        <v>#REF!</v>
      </c>
      <c r="F188" s="263">
        <v>3007</v>
      </c>
      <c r="G188" s="260">
        <v>2903</v>
      </c>
      <c r="H188" s="261">
        <v>124</v>
      </c>
      <c r="I188" s="367" t="e">
        <f t="shared" si="37"/>
        <v>#REF!</v>
      </c>
      <c r="J188" s="367" t="e">
        <f t="shared" si="38"/>
        <v>#REF!</v>
      </c>
      <c r="K188" s="367" t="e">
        <f t="shared" si="39"/>
        <v>#REF!</v>
      </c>
      <c r="L188" s="278"/>
      <c r="M188" s="262" t="s">
        <v>678</v>
      </c>
      <c r="O188">
        <v>3007</v>
      </c>
      <c r="P188">
        <v>2903</v>
      </c>
      <c r="Q188">
        <v>124</v>
      </c>
    </row>
    <row r="189" spans="1:17" x14ac:dyDescent="0.25">
      <c r="A189" s="624"/>
      <c r="B189" s="626"/>
      <c r="C189" s="257" t="s">
        <v>684</v>
      </c>
      <c r="D189" s="258" t="s">
        <v>553</v>
      </c>
      <c r="E189" s="258" t="e">
        <f>VLOOKUP(C189,#REF!,3,0)</f>
        <v>#REF!</v>
      </c>
      <c r="F189" s="263">
        <v>7698</v>
      </c>
      <c r="G189" s="260">
        <v>7433</v>
      </c>
      <c r="H189" s="261">
        <v>318</v>
      </c>
      <c r="I189" s="367" t="e">
        <f t="shared" si="37"/>
        <v>#REF!</v>
      </c>
      <c r="J189" s="367" t="e">
        <f t="shared" si="38"/>
        <v>#REF!</v>
      </c>
      <c r="K189" s="367" t="e">
        <f t="shared" si="39"/>
        <v>#REF!</v>
      </c>
      <c r="L189" s="278"/>
      <c r="M189" s="262" t="s">
        <v>678</v>
      </c>
      <c r="O189">
        <v>7698</v>
      </c>
      <c r="P189">
        <v>7433</v>
      </c>
      <c r="Q189">
        <v>318</v>
      </c>
    </row>
    <row r="190" spans="1:17" x14ac:dyDescent="0.25">
      <c r="A190" s="624"/>
      <c r="B190" s="625" t="s">
        <v>685</v>
      </c>
      <c r="C190" s="257" t="s">
        <v>686</v>
      </c>
      <c r="D190" s="258" t="s">
        <v>419</v>
      </c>
      <c r="E190" s="258" t="e">
        <f>VLOOKUP(C190,#REF!,3,0)</f>
        <v>#REF!</v>
      </c>
      <c r="F190" s="263">
        <v>136</v>
      </c>
      <c r="G190" s="260">
        <v>122</v>
      </c>
      <c r="H190" s="261">
        <v>6.4</v>
      </c>
      <c r="I190" s="367" t="e">
        <f t="shared" ref="I190:I197" si="40">_xlfn.IFNA($E190*F190,0)</f>
        <v>#REF!</v>
      </c>
      <c r="J190" s="367" t="e">
        <f t="shared" ref="J190:J197" si="41">_xlfn.IFNA($E190*G190,0)</f>
        <v>#REF!</v>
      </c>
      <c r="K190" s="367" t="e">
        <f t="shared" ref="K190:K197" si="42">_xlfn.IFNA($E190*H190,0)</f>
        <v>#REF!</v>
      </c>
      <c r="L190" s="278"/>
      <c r="M190" s="262" t="s">
        <v>687</v>
      </c>
      <c r="O190">
        <v>136</v>
      </c>
      <c r="P190">
        <v>122</v>
      </c>
      <c r="Q190">
        <v>6.4</v>
      </c>
    </row>
    <row r="191" spans="1:17" x14ac:dyDescent="0.25">
      <c r="A191" s="624"/>
      <c r="B191" s="626"/>
      <c r="C191" s="257" t="s">
        <v>688</v>
      </c>
      <c r="D191" s="258" t="s">
        <v>461</v>
      </c>
      <c r="E191" s="258" t="e">
        <f>VLOOKUP(C191,#REF!,3,0)</f>
        <v>#REF!</v>
      </c>
      <c r="F191" s="263">
        <v>12.3</v>
      </c>
      <c r="G191" s="260">
        <v>11.1</v>
      </c>
      <c r="H191" s="261">
        <v>0.57999999999999996</v>
      </c>
      <c r="I191" s="367" t="e">
        <f t="shared" si="40"/>
        <v>#REF!</v>
      </c>
      <c r="J191" s="367" t="e">
        <f t="shared" si="41"/>
        <v>#REF!</v>
      </c>
      <c r="K191" s="367" t="e">
        <f t="shared" si="42"/>
        <v>#REF!</v>
      </c>
      <c r="L191" s="278"/>
      <c r="M191" s="262" t="s">
        <v>687</v>
      </c>
      <c r="O191">
        <v>12.3</v>
      </c>
      <c r="P191">
        <v>11.1</v>
      </c>
      <c r="Q191">
        <v>0.57999999999999996</v>
      </c>
    </row>
    <row r="192" spans="1:17" x14ac:dyDescent="0.25">
      <c r="A192" s="624"/>
      <c r="B192" s="626"/>
      <c r="C192" s="257" t="s">
        <v>689</v>
      </c>
      <c r="D192" s="258" t="s">
        <v>461</v>
      </c>
      <c r="E192" s="258" t="e">
        <f>VLOOKUP(C192,#REF!,3,0)</f>
        <v>#REF!</v>
      </c>
      <c r="F192" s="263">
        <v>24.7</v>
      </c>
      <c r="G192" s="260">
        <v>22.2</v>
      </c>
      <c r="H192" s="261">
        <v>1.2</v>
      </c>
      <c r="I192" s="367" t="e">
        <f t="shared" si="40"/>
        <v>#REF!</v>
      </c>
      <c r="J192" s="367" t="e">
        <f t="shared" si="41"/>
        <v>#REF!</v>
      </c>
      <c r="K192" s="367" t="e">
        <f t="shared" si="42"/>
        <v>#REF!</v>
      </c>
      <c r="L192" s="278"/>
      <c r="M192" s="262" t="s">
        <v>687</v>
      </c>
      <c r="O192">
        <v>24.7</v>
      </c>
      <c r="P192">
        <v>22.2</v>
      </c>
      <c r="Q192">
        <v>1.2</v>
      </c>
    </row>
    <row r="193" spans="1:17" x14ac:dyDescent="0.25">
      <c r="A193" s="624"/>
      <c r="B193" s="626"/>
      <c r="C193" s="257" t="s">
        <v>690</v>
      </c>
      <c r="D193" s="258" t="s">
        <v>419</v>
      </c>
      <c r="E193" s="258" t="e">
        <f>VLOOKUP(C193,#REF!,3,0)</f>
        <v>#REF!</v>
      </c>
      <c r="F193" s="263">
        <v>130</v>
      </c>
      <c r="G193" s="260">
        <v>89.6</v>
      </c>
      <c r="H193" s="261">
        <v>6</v>
      </c>
      <c r="I193" s="367" t="e">
        <f t="shared" si="40"/>
        <v>#REF!</v>
      </c>
      <c r="J193" s="367" t="e">
        <f t="shared" si="41"/>
        <v>#REF!</v>
      </c>
      <c r="K193" s="367" t="e">
        <f t="shared" si="42"/>
        <v>#REF!</v>
      </c>
      <c r="L193" s="278"/>
      <c r="M193" s="262" t="s">
        <v>691</v>
      </c>
      <c r="O193">
        <v>130</v>
      </c>
      <c r="P193">
        <v>89.6</v>
      </c>
      <c r="Q193">
        <v>6</v>
      </c>
    </row>
    <row r="194" spans="1:17" x14ac:dyDescent="0.25">
      <c r="A194" s="624"/>
      <c r="B194" s="626"/>
      <c r="C194" s="257" t="s">
        <v>692</v>
      </c>
      <c r="D194" s="258" t="s">
        <v>553</v>
      </c>
      <c r="E194" s="258" t="e">
        <f>VLOOKUP(C194,#REF!,3,0)</f>
        <v>#REF!</v>
      </c>
      <c r="F194" s="263">
        <v>11</v>
      </c>
      <c r="G194" s="260">
        <v>7.6</v>
      </c>
      <c r="H194" s="261">
        <v>0.51</v>
      </c>
      <c r="I194" s="367" t="e">
        <f t="shared" si="40"/>
        <v>#REF!</v>
      </c>
      <c r="J194" s="367" t="e">
        <f t="shared" si="41"/>
        <v>#REF!</v>
      </c>
      <c r="K194" s="367" t="e">
        <f t="shared" si="42"/>
        <v>#REF!</v>
      </c>
      <c r="L194" s="278"/>
      <c r="M194" s="262" t="s">
        <v>691</v>
      </c>
      <c r="O194">
        <v>11</v>
      </c>
      <c r="P194">
        <v>7.6</v>
      </c>
      <c r="Q194">
        <v>0.51</v>
      </c>
    </row>
    <row r="195" spans="1:17" x14ac:dyDescent="0.25">
      <c r="A195" s="624"/>
      <c r="B195" s="626"/>
      <c r="C195" s="257" t="s">
        <v>693</v>
      </c>
      <c r="D195" s="258" t="s">
        <v>553</v>
      </c>
      <c r="E195" s="258" t="e">
        <f>VLOOKUP(C195,#REF!,3,0)</f>
        <v>#REF!</v>
      </c>
      <c r="F195" s="263">
        <v>17.3</v>
      </c>
      <c r="G195" s="260">
        <v>11.9</v>
      </c>
      <c r="H195" s="261">
        <v>0.8</v>
      </c>
      <c r="I195" s="367" t="e">
        <f t="shared" si="40"/>
        <v>#REF!</v>
      </c>
      <c r="J195" s="367" t="e">
        <f t="shared" si="41"/>
        <v>#REF!</v>
      </c>
      <c r="K195" s="367" t="e">
        <f t="shared" si="42"/>
        <v>#REF!</v>
      </c>
      <c r="L195" s="278"/>
      <c r="M195" s="262" t="s">
        <v>691</v>
      </c>
      <c r="O195">
        <v>17.3</v>
      </c>
      <c r="P195">
        <v>11.9</v>
      </c>
      <c r="Q195">
        <v>0.8</v>
      </c>
    </row>
    <row r="196" spans="1:17" x14ac:dyDescent="0.25">
      <c r="A196" s="624"/>
      <c r="B196" s="626"/>
      <c r="C196" s="257" t="s">
        <v>694</v>
      </c>
      <c r="D196" s="258" t="s">
        <v>553</v>
      </c>
      <c r="E196" s="258" t="e">
        <f>VLOOKUP(C196,#REF!,3,0)</f>
        <v>#REF!</v>
      </c>
      <c r="F196" s="263">
        <v>26.6</v>
      </c>
      <c r="G196" s="260">
        <v>18.399999999999999</v>
      </c>
      <c r="H196" s="261">
        <v>1.2</v>
      </c>
      <c r="I196" s="367" t="e">
        <f t="shared" si="40"/>
        <v>#REF!</v>
      </c>
      <c r="J196" s="367" t="e">
        <f t="shared" si="41"/>
        <v>#REF!</v>
      </c>
      <c r="K196" s="367" t="e">
        <f t="shared" si="42"/>
        <v>#REF!</v>
      </c>
      <c r="L196" s="278"/>
      <c r="M196" s="262" t="s">
        <v>691</v>
      </c>
      <c r="O196">
        <v>26.6</v>
      </c>
      <c r="P196">
        <v>18.399999999999999</v>
      </c>
      <c r="Q196">
        <v>1.2</v>
      </c>
    </row>
    <row r="197" spans="1:17" x14ac:dyDescent="0.25">
      <c r="A197" s="624"/>
      <c r="B197" s="626"/>
      <c r="C197" s="257" t="s">
        <v>695</v>
      </c>
      <c r="D197" s="258" t="s">
        <v>553</v>
      </c>
      <c r="E197" s="258" t="e">
        <f>VLOOKUP(C197,#REF!,3,0)</f>
        <v>#REF!</v>
      </c>
      <c r="F197" s="263">
        <v>43.9</v>
      </c>
      <c r="G197" s="260">
        <v>30.3</v>
      </c>
      <c r="H197" s="261">
        <v>2</v>
      </c>
      <c r="I197" s="367" t="e">
        <f t="shared" si="40"/>
        <v>#REF!</v>
      </c>
      <c r="J197" s="367" t="e">
        <f t="shared" si="41"/>
        <v>#REF!</v>
      </c>
      <c r="K197" s="367" t="e">
        <f t="shared" si="42"/>
        <v>#REF!</v>
      </c>
      <c r="L197" s="278"/>
      <c r="M197" s="262" t="s">
        <v>691</v>
      </c>
      <c r="O197">
        <v>43.9</v>
      </c>
      <c r="P197">
        <v>30.3</v>
      </c>
      <c r="Q197">
        <v>2</v>
      </c>
    </row>
    <row r="198" spans="1:17" x14ac:dyDescent="0.25">
      <c r="A198" s="624"/>
      <c r="B198" s="625" t="s">
        <v>696</v>
      </c>
      <c r="C198" s="257" t="s">
        <v>697</v>
      </c>
      <c r="D198" s="258" t="s">
        <v>419</v>
      </c>
      <c r="E198" s="258" t="e">
        <f>VLOOKUP(C198,#REF!,3,0)</f>
        <v>#REF!</v>
      </c>
      <c r="F198" s="263">
        <v>335</v>
      </c>
      <c r="G198" s="260">
        <v>910</v>
      </c>
      <c r="H198" s="261">
        <v>22.2</v>
      </c>
      <c r="I198" s="367" t="e">
        <f t="shared" ref="I198:I201" si="43">_xlfn.IFNA($E198*F198,0)</f>
        <v>#REF!</v>
      </c>
      <c r="J198" s="367" t="e">
        <f t="shared" ref="J198:J201" si="44">_xlfn.IFNA($E198*G198,0)</f>
        <v>#REF!</v>
      </c>
      <c r="K198" s="367" t="e">
        <f t="shared" ref="K198:K201" si="45">_xlfn.IFNA($E198*H198,0)</f>
        <v>#REF!</v>
      </c>
      <c r="L198" s="278"/>
      <c r="M198" s="262" t="s">
        <v>698</v>
      </c>
      <c r="O198">
        <v>335</v>
      </c>
      <c r="P198">
        <v>910</v>
      </c>
      <c r="Q198">
        <v>22.2</v>
      </c>
    </row>
    <row r="199" spans="1:17" x14ac:dyDescent="0.25">
      <c r="A199" s="624"/>
      <c r="B199" s="626"/>
      <c r="C199" s="257" t="s">
        <v>699</v>
      </c>
      <c r="D199" s="258" t="s">
        <v>461</v>
      </c>
      <c r="E199" s="258" t="e">
        <f>VLOOKUP(C199,#REF!,3,0)</f>
        <v>#REF!</v>
      </c>
      <c r="F199" s="263">
        <v>572</v>
      </c>
      <c r="G199" s="260">
        <v>1556</v>
      </c>
      <c r="H199" s="261">
        <v>37.9</v>
      </c>
      <c r="I199" s="367" t="e">
        <f t="shared" si="43"/>
        <v>#REF!</v>
      </c>
      <c r="J199" s="367" t="e">
        <f t="shared" si="44"/>
        <v>#REF!</v>
      </c>
      <c r="K199" s="367" t="e">
        <f t="shared" si="45"/>
        <v>#REF!</v>
      </c>
      <c r="L199" s="278"/>
      <c r="M199" s="262" t="s">
        <v>698</v>
      </c>
      <c r="O199">
        <v>572</v>
      </c>
      <c r="P199">
        <v>1556</v>
      </c>
      <c r="Q199">
        <v>37.9</v>
      </c>
    </row>
    <row r="200" spans="1:17" x14ac:dyDescent="0.25">
      <c r="A200" s="624"/>
      <c r="B200" s="626"/>
      <c r="C200" s="257" t="s">
        <v>700</v>
      </c>
      <c r="D200" s="258" t="s">
        <v>461</v>
      </c>
      <c r="E200" s="258" t="e">
        <f>VLOOKUP(C200,#REF!,3,0)</f>
        <v>#REF!</v>
      </c>
      <c r="F200" s="263">
        <v>1145</v>
      </c>
      <c r="G200" s="260">
        <v>3113</v>
      </c>
      <c r="H200" s="261">
        <v>75.8</v>
      </c>
      <c r="I200" s="367" t="e">
        <f t="shared" si="43"/>
        <v>#REF!</v>
      </c>
      <c r="J200" s="367" t="e">
        <f t="shared" si="44"/>
        <v>#REF!</v>
      </c>
      <c r="K200" s="367" t="e">
        <f t="shared" si="45"/>
        <v>#REF!</v>
      </c>
      <c r="L200" s="278"/>
      <c r="M200" s="262" t="s">
        <v>698</v>
      </c>
      <c r="O200">
        <v>1145</v>
      </c>
      <c r="P200">
        <v>3113</v>
      </c>
      <c r="Q200">
        <v>75.8</v>
      </c>
    </row>
    <row r="201" spans="1:17" x14ac:dyDescent="0.25">
      <c r="A201" s="624"/>
      <c r="B201" s="626"/>
      <c r="C201" s="257" t="s">
        <v>701</v>
      </c>
      <c r="D201" s="258" t="s">
        <v>461</v>
      </c>
      <c r="E201" s="258" t="e">
        <f>VLOOKUP(C201,#REF!,3,0)</f>
        <v>#REF!</v>
      </c>
      <c r="F201" s="263">
        <v>1908</v>
      </c>
      <c r="G201" s="260">
        <v>5188</v>
      </c>
      <c r="H201" s="261">
        <v>126</v>
      </c>
      <c r="I201" s="367" t="e">
        <f t="shared" si="43"/>
        <v>#REF!</v>
      </c>
      <c r="J201" s="367" t="e">
        <f t="shared" si="44"/>
        <v>#REF!</v>
      </c>
      <c r="K201" s="367" t="e">
        <f t="shared" si="45"/>
        <v>#REF!</v>
      </c>
      <c r="L201" s="278"/>
      <c r="M201" s="262" t="s">
        <v>698</v>
      </c>
      <c r="O201">
        <v>1908</v>
      </c>
      <c r="P201">
        <v>5188</v>
      </c>
      <c r="Q201">
        <v>126</v>
      </c>
    </row>
    <row r="202" spans="1:17" x14ac:dyDescent="0.25">
      <c r="A202" s="624"/>
      <c r="B202" s="625" t="s">
        <v>527</v>
      </c>
      <c r="C202" s="257" t="s">
        <v>702</v>
      </c>
      <c r="D202" s="258" t="s">
        <v>419</v>
      </c>
      <c r="E202" s="258" t="e">
        <f>VLOOKUP(C202,#REF!,3,0)</f>
        <v>#REF!</v>
      </c>
      <c r="F202" s="263">
        <v>270</v>
      </c>
      <c r="G202" s="260">
        <v>359</v>
      </c>
      <c r="H202" s="261">
        <v>16</v>
      </c>
      <c r="I202" s="367" t="e">
        <f t="shared" ref="I202:I232" si="46">_xlfn.IFNA($E202*F202,0)</f>
        <v>#REF!</v>
      </c>
      <c r="J202" s="367" t="e">
        <f t="shared" ref="J202:J232" si="47">_xlfn.IFNA($E202*G202,0)</f>
        <v>#REF!</v>
      </c>
      <c r="K202" s="367" t="e">
        <f t="shared" ref="K202:K232" si="48">_xlfn.IFNA($E202*H202,0)</f>
        <v>#REF!</v>
      </c>
      <c r="L202" s="278"/>
      <c r="M202" s="262" t="s">
        <v>703</v>
      </c>
      <c r="O202">
        <v>270</v>
      </c>
      <c r="P202">
        <v>359</v>
      </c>
      <c r="Q202">
        <v>16</v>
      </c>
    </row>
    <row r="203" spans="1:17" x14ac:dyDescent="0.25">
      <c r="A203" s="624"/>
      <c r="B203" s="626"/>
      <c r="C203" s="257" t="s">
        <v>704</v>
      </c>
      <c r="D203" s="258" t="s">
        <v>461</v>
      </c>
      <c r="E203" s="258" t="e">
        <f>VLOOKUP(C203,#REF!,3,0)</f>
        <v>#REF!</v>
      </c>
      <c r="F203" s="263">
        <v>577</v>
      </c>
      <c r="G203" s="260">
        <v>767</v>
      </c>
      <c r="H203" s="261">
        <v>34.299999999999997</v>
      </c>
      <c r="I203" s="367" t="e">
        <f t="shared" si="46"/>
        <v>#REF!</v>
      </c>
      <c r="J203" s="367" t="e">
        <f t="shared" si="47"/>
        <v>#REF!</v>
      </c>
      <c r="K203" s="367" t="e">
        <f t="shared" si="48"/>
        <v>#REF!</v>
      </c>
      <c r="L203" s="278"/>
      <c r="M203" s="262" t="s">
        <v>703</v>
      </c>
      <c r="O203">
        <v>577</v>
      </c>
      <c r="P203">
        <v>767</v>
      </c>
      <c r="Q203">
        <v>34.299999999999997</v>
      </c>
    </row>
    <row r="204" spans="1:17" x14ac:dyDescent="0.25">
      <c r="A204" s="624"/>
      <c r="B204" s="626"/>
      <c r="C204" s="257" t="s">
        <v>705</v>
      </c>
      <c r="D204" s="258" t="s">
        <v>461</v>
      </c>
      <c r="E204" s="258" t="e">
        <f>VLOOKUP(C204,#REF!,3,0)</f>
        <v>#REF!</v>
      </c>
      <c r="F204" s="263">
        <v>866</v>
      </c>
      <c r="G204" s="260">
        <v>1151</v>
      </c>
      <c r="H204" s="261">
        <v>51.4</v>
      </c>
      <c r="I204" s="367" t="e">
        <f t="shared" si="46"/>
        <v>#REF!</v>
      </c>
      <c r="J204" s="367" t="e">
        <f t="shared" si="47"/>
        <v>#REF!</v>
      </c>
      <c r="K204" s="367" t="e">
        <f t="shared" si="48"/>
        <v>#REF!</v>
      </c>
      <c r="L204" s="278"/>
      <c r="M204" s="262" t="s">
        <v>703</v>
      </c>
      <c r="O204">
        <v>866</v>
      </c>
      <c r="P204">
        <v>1151</v>
      </c>
      <c r="Q204">
        <v>51.4</v>
      </c>
    </row>
    <row r="205" spans="1:17" x14ac:dyDescent="0.25">
      <c r="A205" s="624"/>
      <c r="B205" s="626"/>
      <c r="C205" s="257" t="s">
        <v>706</v>
      </c>
      <c r="D205" s="258" t="s">
        <v>553</v>
      </c>
      <c r="E205" s="258" t="e">
        <f>VLOOKUP(C205,#REF!,3,0)</f>
        <v>#REF!</v>
      </c>
      <c r="F205" s="263">
        <v>36.799999999999997</v>
      </c>
      <c r="G205" s="260">
        <v>48.9</v>
      </c>
      <c r="H205" s="261">
        <v>2.2000000000000002</v>
      </c>
      <c r="I205" s="367" t="e">
        <f t="shared" si="46"/>
        <v>#REF!</v>
      </c>
      <c r="J205" s="367" t="e">
        <f t="shared" si="47"/>
        <v>#REF!</v>
      </c>
      <c r="K205" s="367" t="e">
        <f t="shared" si="48"/>
        <v>#REF!</v>
      </c>
      <c r="L205" s="278"/>
      <c r="M205" s="262" t="s">
        <v>703</v>
      </c>
      <c r="O205">
        <v>36.799999999999997</v>
      </c>
      <c r="P205">
        <v>48.9</v>
      </c>
      <c r="Q205">
        <v>2.2000000000000002</v>
      </c>
    </row>
    <row r="206" spans="1:17" x14ac:dyDescent="0.25">
      <c r="A206" s="624"/>
      <c r="B206" s="626"/>
      <c r="C206" s="257" t="s">
        <v>707</v>
      </c>
      <c r="D206" s="258" t="s">
        <v>553</v>
      </c>
      <c r="E206" s="258" t="e">
        <f>VLOOKUP(C206,#REF!,3,0)</f>
        <v>#REF!</v>
      </c>
      <c r="F206" s="263">
        <v>146</v>
      </c>
      <c r="G206" s="260">
        <v>194</v>
      </c>
      <c r="H206" s="261">
        <v>8.6999999999999993</v>
      </c>
      <c r="I206" s="367" t="e">
        <f t="shared" si="46"/>
        <v>#REF!</v>
      </c>
      <c r="J206" s="367" t="e">
        <f t="shared" si="47"/>
        <v>#REF!</v>
      </c>
      <c r="K206" s="367" t="e">
        <f t="shared" si="48"/>
        <v>#REF!</v>
      </c>
      <c r="L206" s="278"/>
      <c r="M206" s="262" t="s">
        <v>703</v>
      </c>
      <c r="O206">
        <v>146</v>
      </c>
      <c r="P206">
        <v>194</v>
      </c>
      <c r="Q206">
        <v>8.6999999999999993</v>
      </c>
    </row>
    <row r="207" spans="1:17" x14ac:dyDescent="0.25">
      <c r="A207" s="624"/>
      <c r="B207" s="626"/>
      <c r="C207" s="257" t="s">
        <v>708</v>
      </c>
      <c r="D207" s="258" t="s">
        <v>553</v>
      </c>
      <c r="E207" s="258" t="e">
        <f>VLOOKUP(C207,#REF!,3,0)</f>
        <v>#REF!</v>
      </c>
      <c r="F207" s="263">
        <v>1122</v>
      </c>
      <c r="G207" s="260">
        <v>1491</v>
      </c>
      <c r="H207" s="261">
        <v>66.599999999999994</v>
      </c>
      <c r="I207" s="367" t="e">
        <f t="shared" si="46"/>
        <v>#REF!</v>
      </c>
      <c r="J207" s="367" t="e">
        <f t="shared" si="47"/>
        <v>#REF!</v>
      </c>
      <c r="K207" s="367" t="e">
        <f t="shared" si="48"/>
        <v>#REF!</v>
      </c>
      <c r="L207" s="278"/>
      <c r="M207" s="262" t="s">
        <v>703</v>
      </c>
      <c r="O207">
        <v>1122</v>
      </c>
      <c r="P207">
        <v>1491</v>
      </c>
      <c r="Q207">
        <v>66.599999999999994</v>
      </c>
    </row>
    <row r="208" spans="1:17" x14ac:dyDescent="0.25">
      <c r="A208" s="624"/>
      <c r="B208" s="626"/>
      <c r="C208" s="257" t="s">
        <v>709</v>
      </c>
      <c r="D208" s="258" t="s">
        <v>419</v>
      </c>
      <c r="E208" s="258" t="e">
        <f>VLOOKUP(C208,#REF!,3,0)</f>
        <v>#REF!</v>
      </c>
      <c r="F208" s="263">
        <v>12063</v>
      </c>
      <c r="G208" s="260">
        <v>22606</v>
      </c>
      <c r="H208" s="261">
        <v>798</v>
      </c>
      <c r="I208" s="367" t="e">
        <f t="shared" si="46"/>
        <v>#REF!</v>
      </c>
      <c r="J208" s="367" t="e">
        <f t="shared" si="47"/>
        <v>#REF!</v>
      </c>
      <c r="K208" s="367" t="e">
        <f t="shared" si="48"/>
        <v>#REF!</v>
      </c>
      <c r="L208" s="278"/>
      <c r="M208" s="262" t="s">
        <v>710</v>
      </c>
      <c r="O208">
        <v>12063</v>
      </c>
      <c r="P208">
        <v>22606</v>
      </c>
      <c r="Q208">
        <v>798</v>
      </c>
    </row>
    <row r="209" spans="1:17" x14ac:dyDescent="0.25">
      <c r="A209" s="624"/>
      <c r="B209" s="626"/>
      <c r="C209" s="257" t="s">
        <v>711</v>
      </c>
      <c r="D209" s="258" t="s">
        <v>461</v>
      </c>
      <c r="E209" s="258" t="e">
        <f>VLOOKUP(C209,#REF!,3,0)</f>
        <v>#REF!</v>
      </c>
      <c r="F209" s="263">
        <v>306</v>
      </c>
      <c r="G209" s="260">
        <v>574</v>
      </c>
      <c r="H209" s="261">
        <v>20.3</v>
      </c>
      <c r="I209" s="367" t="e">
        <f t="shared" si="46"/>
        <v>#REF!</v>
      </c>
      <c r="J209" s="367" t="e">
        <f t="shared" si="47"/>
        <v>#REF!</v>
      </c>
      <c r="K209" s="367" t="e">
        <f t="shared" si="48"/>
        <v>#REF!</v>
      </c>
      <c r="L209" s="278"/>
      <c r="M209" s="262" t="s">
        <v>710</v>
      </c>
      <c r="O209">
        <v>306</v>
      </c>
      <c r="P209">
        <v>574</v>
      </c>
      <c r="Q209">
        <v>20.3</v>
      </c>
    </row>
    <row r="210" spans="1:17" x14ac:dyDescent="0.25">
      <c r="A210" s="624"/>
      <c r="B210" s="626"/>
      <c r="C210" s="257" t="s">
        <v>712</v>
      </c>
      <c r="D210" s="258" t="s">
        <v>461</v>
      </c>
      <c r="E210" s="258" t="e">
        <f>VLOOKUP(C210,#REF!,3,0)</f>
        <v>#REF!</v>
      </c>
      <c r="F210" s="263">
        <v>613</v>
      </c>
      <c r="G210" s="260">
        <v>1148</v>
      </c>
      <c r="H210" s="261">
        <v>40.5</v>
      </c>
      <c r="I210" s="367" t="e">
        <f t="shared" si="46"/>
        <v>#REF!</v>
      </c>
      <c r="J210" s="367" t="e">
        <f t="shared" si="47"/>
        <v>#REF!</v>
      </c>
      <c r="K210" s="367" t="e">
        <f t="shared" si="48"/>
        <v>#REF!</v>
      </c>
      <c r="L210" s="278"/>
      <c r="M210" s="262" t="s">
        <v>710</v>
      </c>
      <c r="O210">
        <v>613</v>
      </c>
      <c r="P210">
        <v>1148</v>
      </c>
      <c r="Q210">
        <v>40.5</v>
      </c>
    </row>
    <row r="211" spans="1:17" x14ac:dyDescent="0.25">
      <c r="A211" s="624"/>
      <c r="B211" s="626"/>
      <c r="C211" s="257" t="s">
        <v>713</v>
      </c>
      <c r="D211" s="258" t="s">
        <v>461</v>
      </c>
      <c r="E211" s="258" t="e">
        <f>VLOOKUP(C211,#REF!,3,0)</f>
        <v>#REF!</v>
      </c>
      <c r="F211" s="263">
        <v>1532</v>
      </c>
      <c r="G211" s="260">
        <v>2871</v>
      </c>
      <c r="H211" s="261">
        <v>101</v>
      </c>
      <c r="I211" s="367" t="e">
        <f t="shared" si="46"/>
        <v>#REF!</v>
      </c>
      <c r="J211" s="367" t="e">
        <f t="shared" si="47"/>
        <v>#REF!</v>
      </c>
      <c r="K211" s="367" t="e">
        <f t="shared" si="48"/>
        <v>#REF!</v>
      </c>
      <c r="L211" s="278"/>
      <c r="M211" s="262" t="s">
        <v>710</v>
      </c>
      <c r="O211">
        <v>1532</v>
      </c>
      <c r="P211">
        <v>2871</v>
      </c>
      <c r="Q211">
        <v>101</v>
      </c>
    </row>
    <row r="212" spans="1:17" x14ac:dyDescent="0.25">
      <c r="A212" s="624"/>
      <c r="B212" s="626"/>
      <c r="C212" s="257" t="s">
        <v>714</v>
      </c>
      <c r="D212" s="258" t="s">
        <v>419</v>
      </c>
      <c r="E212" s="258" t="e">
        <f>VLOOKUP(C212,#REF!,3,0)</f>
        <v>#REF!</v>
      </c>
      <c r="F212" s="263">
        <v>299</v>
      </c>
      <c r="G212" s="260">
        <v>529</v>
      </c>
      <c r="H212" s="261">
        <v>18.8</v>
      </c>
      <c r="I212" s="367" t="e">
        <f t="shared" si="46"/>
        <v>#REF!</v>
      </c>
      <c r="J212" s="367" t="e">
        <f t="shared" si="47"/>
        <v>#REF!</v>
      </c>
      <c r="K212" s="367" t="e">
        <f t="shared" si="48"/>
        <v>#REF!</v>
      </c>
      <c r="L212" s="278"/>
      <c r="M212" s="262" t="s">
        <v>715</v>
      </c>
      <c r="O212">
        <v>299</v>
      </c>
      <c r="P212">
        <v>529</v>
      </c>
      <c r="Q212">
        <v>18.8</v>
      </c>
    </row>
    <row r="213" spans="1:17" x14ac:dyDescent="0.25">
      <c r="A213" s="624"/>
      <c r="B213" s="626"/>
      <c r="C213" s="257" t="s">
        <v>716</v>
      </c>
      <c r="D213" s="258" t="s">
        <v>461</v>
      </c>
      <c r="E213" s="258" t="e">
        <f>VLOOKUP(C213,#REF!,3,0)</f>
        <v>#REF!</v>
      </c>
      <c r="F213" s="263">
        <v>4037</v>
      </c>
      <c r="G213" s="260">
        <v>7144</v>
      </c>
      <c r="H213" s="261">
        <v>254</v>
      </c>
      <c r="I213" s="367" t="e">
        <f t="shared" si="46"/>
        <v>#REF!</v>
      </c>
      <c r="J213" s="367" t="e">
        <f t="shared" si="47"/>
        <v>#REF!</v>
      </c>
      <c r="K213" s="367" t="e">
        <f t="shared" si="48"/>
        <v>#REF!</v>
      </c>
      <c r="L213" s="278"/>
      <c r="M213" s="262" t="s">
        <v>715</v>
      </c>
      <c r="O213">
        <v>4037</v>
      </c>
      <c r="P213">
        <v>7144</v>
      </c>
      <c r="Q213">
        <v>254</v>
      </c>
    </row>
    <row r="214" spans="1:17" x14ac:dyDescent="0.25">
      <c r="A214" s="624"/>
      <c r="B214" s="626"/>
      <c r="C214" s="257" t="s">
        <v>717</v>
      </c>
      <c r="D214" s="258" t="s">
        <v>461</v>
      </c>
      <c r="E214" s="258" t="e">
        <f>VLOOKUP(C214,#REF!,3,0)</f>
        <v>#REF!</v>
      </c>
      <c r="F214" s="263">
        <v>8075</v>
      </c>
      <c r="G214" s="260">
        <v>14288</v>
      </c>
      <c r="H214" s="261">
        <v>509</v>
      </c>
      <c r="I214" s="367" t="e">
        <f t="shared" si="46"/>
        <v>#REF!</v>
      </c>
      <c r="J214" s="367" t="e">
        <f t="shared" si="47"/>
        <v>#REF!</v>
      </c>
      <c r="K214" s="367" t="e">
        <f t="shared" si="48"/>
        <v>#REF!</v>
      </c>
      <c r="L214" s="278"/>
      <c r="M214" s="262" t="s">
        <v>715</v>
      </c>
      <c r="O214">
        <v>8075</v>
      </c>
      <c r="P214">
        <v>14288</v>
      </c>
      <c r="Q214">
        <v>509</v>
      </c>
    </row>
    <row r="215" spans="1:17" x14ac:dyDescent="0.25">
      <c r="A215" s="624"/>
      <c r="B215" s="626"/>
      <c r="C215" s="257" t="s">
        <v>718</v>
      </c>
      <c r="D215" s="258" t="s">
        <v>461</v>
      </c>
      <c r="E215" s="258" t="e">
        <f>VLOOKUP(C215,#REF!,3,0)</f>
        <v>#REF!</v>
      </c>
      <c r="F215" s="263">
        <v>20187</v>
      </c>
      <c r="G215" s="260">
        <v>35719</v>
      </c>
      <c r="H215" s="261">
        <v>1271</v>
      </c>
      <c r="I215" s="367" t="e">
        <f t="shared" si="46"/>
        <v>#REF!</v>
      </c>
      <c r="J215" s="367" t="e">
        <f t="shared" si="47"/>
        <v>#REF!</v>
      </c>
      <c r="K215" s="367" t="e">
        <f t="shared" si="48"/>
        <v>#REF!</v>
      </c>
      <c r="L215" s="278"/>
      <c r="M215" s="262" t="s">
        <v>715</v>
      </c>
      <c r="O215">
        <v>20187</v>
      </c>
      <c r="P215">
        <v>35719</v>
      </c>
      <c r="Q215">
        <v>1271</v>
      </c>
    </row>
    <row r="216" spans="1:17" x14ac:dyDescent="0.25">
      <c r="A216" s="624"/>
      <c r="B216" s="626"/>
      <c r="C216" s="257" t="s">
        <v>719</v>
      </c>
      <c r="D216" s="258" t="s">
        <v>419</v>
      </c>
      <c r="E216" s="258" t="e">
        <f>VLOOKUP(C216,#REF!,3,0)</f>
        <v>#REF!</v>
      </c>
      <c r="F216" s="263">
        <v>58.2</v>
      </c>
      <c r="G216" s="260">
        <v>195</v>
      </c>
      <c r="H216" s="261">
        <v>4.4000000000000004</v>
      </c>
      <c r="I216" s="367" t="e">
        <f t="shared" si="46"/>
        <v>#REF!</v>
      </c>
      <c r="J216" s="367" t="e">
        <f t="shared" si="47"/>
        <v>#REF!</v>
      </c>
      <c r="K216" s="367" t="e">
        <f t="shared" si="48"/>
        <v>#REF!</v>
      </c>
      <c r="L216" s="278"/>
      <c r="M216" s="262" t="s">
        <v>720</v>
      </c>
      <c r="O216">
        <v>58.2</v>
      </c>
      <c r="P216">
        <v>195</v>
      </c>
      <c r="Q216">
        <v>4.4000000000000004</v>
      </c>
    </row>
    <row r="217" spans="1:17" x14ac:dyDescent="0.25">
      <c r="A217" s="624"/>
      <c r="B217" s="626"/>
      <c r="C217" s="257" t="s">
        <v>721</v>
      </c>
      <c r="D217" s="258" t="s">
        <v>461</v>
      </c>
      <c r="E217" s="258" t="e">
        <f>VLOOKUP(C217,#REF!,3,0)</f>
        <v>#REF!</v>
      </c>
      <c r="F217" s="263">
        <v>140</v>
      </c>
      <c r="G217" s="260">
        <v>469</v>
      </c>
      <c r="H217" s="261">
        <v>10.6</v>
      </c>
      <c r="I217" s="367" t="e">
        <f t="shared" si="46"/>
        <v>#REF!</v>
      </c>
      <c r="J217" s="367" t="e">
        <f t="shared" si="47"/>
        <v>#REF!</v>
      </c>
      <c r="K217" s="367" t="e">
        <f t="shared" si="48"/>
        <v>#REF!</v>
      </c>
      <c r="L217" s="278"/>
      <c r="M217" s="262" t="s">
        <v>720</v>
      </c>
      <c r="O217">
        <v>140</v>
      </c>
      <c r="P217">
        <v>469</v>
      </c>
      <c r="Q217">
        <v>10.6</v>
      </c>
    </row>
    <row r="218" spans="1:17" x14ac:dyDescent="0.25">
      <c r="A218" s="624"/>
      <c r="B218" s="626"/>
      <c r="C218" s="257" t="s">
        <v>722</v>
      </c>
      <c r="D218" s="258" t="s">
        <v>461</v>
      </c>
      <c r="E218" s="258" t="e">
        <f>VLOOKUP(C218,#REF!,3,0)</f>
        <v>#REF!</v>
      </c>
      <c r="F218" s="263">
        <v>175</v>
      </c>
      <c r="G218" s="260">
        <v>586</v>
      </c>
      <c r="H218" s="261">
        <v>13.3</v>
      </c>
      <c r="I218" s="367" t="e">
        <f t="shared" si="46"/>
        <v>#REF!</v>
      </c>
      <c r="J218" s="367" t="e">
        <f t="shared" si="47"/>
        <v>#REF!</v>
      </c>
      <c r="K218" s="367" t="e">
        <f t="shared" si="48"/>
        <v>#REF!</v>
      </c>
      <c r="L218" s="278"/>
      <c r="M218" s="262" t="s">
        <v>720</v>
      </c>
      <c r="O218">
        <v>175</v>
      </c>
      <c r="P218">
        <v>586</v>
      </c>
      <c r="Q218">
        <v>13.3</v>
      </c>
    </row>
    <row r="219" spans="1:17" x14ac:dyDescent="0.25">
      <c r="A219" s="624"/>
      <c r="B219" s="626"/>
      <c r="C219" s="257" t="s">
        <v>723</v>
      </c>
      <c r="D219" s="258" t="s">
        <v>461</v>
      </c>
      <c r="E219" s="258" t="e">
        <f>VLOOKUP(C219,#REF!,3,0)</f>
        <v>#REF!</v>
      </c>
      <c r="F219" s="263">
        <v>223</v>
      </c>
      <c r="G219" s="260">
        <v>750</v>
      </c>
      <c r="H219" s="261">
        <v>17</v>
      </c>
      <c r="I219" s="367" t="e">
        <f t="shared" si="46"/>
        <v>#REF!</v>
      </c>
      <c r="J219" s="367" t="e">
        <f t="shared" si="47"/>
        <v>#REF!</v>
      </c>
      <c r="K219" s="367" t="e">
        <f t="shared" si="48"/>
        <v>#REF!</v>
      </c>
      <c r="L219" s="278"/>
      <c r="M219" s="262" t="s">
        <v>720</v>
      </c>
      <c r="O219">
        <v>223</v>
      </c>
      <c r="P219">
        <v>750</v>
      </c>
      <c r="Q219">
        <v>17</v>
      </c>
    </row>
    <row r="220" spans="1:17" x14ac:dyDescent="0.25">
      <c r="A220" s="624"/>
      <c r="B220" s="626"/>
      <c r="C220" s="257" t="s">
        <v>724</v>
      </c>
      <c r="D220" s="258" t="s">
        <v>461</v>
      </c>
      <c r="E220" s="258" t="e">
        <f>VLOOKUP(C220,#REF!,3,0)</f>
        <v>#REF!</v>
      </c>
      <c r="F220" s="263">
        <v>279</v>
      </c>
      <c r="G220" s="260">
        <v>937</v>
      </c>
      <c r="H220" s="261">
        <v>21.2</v>
      </c>
      <c r="I220" s="367" t="e">
        <f t="shared" si="46"/>
        <v>#REF!</v>
      </c>
      <c r="J220" s="367" t="e">
        <f t="shared" si="47"/>
        <v>#REF!</v>
      </c>
      <c r="K220" s="367" t="e">
        <f t="shared" si="48"/>
        <v>#REF!</v>
      </c>
      <c r="L220" s="278"/>
      <c r="M220" s="262" t="s">
        <v>720</v>
      </c>
      <c r="O220">
        <v>279</v>
      </c>
      <c r="P220">
        <v>937</v>
      </c>
      <c r="Q220">
        <v>21.2</v>
      </c>
    </row>
    <row r="221" spans="1:17" x14ac:dyDescent="0.25">
      <c r="A221" s="624"/>
      <c r="B221" s="626"/>
      <c r="C221" s="257" t="s">
        <v>725</v>
      </c>
      <c r="D221" s="258" t="s">
        <v>419</v>
      </c>
      <c r="E221" s="258" t="e">
        <f>VLOOKUP(C221,#REF!,3,0)</f>
        <v>#REF!</v>
      </c>
      <c r="F221" s="263">
        <v>190</v>
      </c>
      <c r="G221" s="260">
        <v>265</v>
      </c>
      <c r="H221" s="261">
        <v>14</v>
      </c>
      <c r="I221" s="367" t="e">
        <f t="shared" si="46"/>
        <v>#REF!</v>
      </c>
      <c r="J221" s="367" t="e">
        <f t="shared" si="47"/>
        <v>#REF!</v>
      </c>
      <c r="K221" s="367" t="e">
        <f t="shared" si="48"/>
        <v>#REF!</v>
      </c>
      <c r="L221" s="278"/>
      <c r="M221" s="262" t="s">
        <v>726</v>
      </c>
      <c r="O221">
        <v>190</v>
      </c>
      <c r="P221">
        <v>265</v>
      </c>
      <c r="Q221">
        <v>14</v>
      </c>
    </row>
    <row r="222" spans="1:17" x14ac:dyDescent="0.25">
      <c r="A222" s="624"/>
      <c r="B222" s="626"/>
      <c r="C222" s="257" t="s">
        <v>727</v>
      </c>
      <c r="D222" s="258" t="s">
        <v>461</v>
      </c>
      <c r="E222" s="258" t="e">
        <f>VLOOKUP(C222,#REF!,3,0)</f>
        <v>#REF!</v>
      </c>
      <c r="F222" s="263">
        <v>228</v>
      </c>
      <c r="G222" s="260">
        <v>318</v>
      </c>
      <c r="H222" s="261">
        <v>16.7</v>
      </c>
      <c r="I222" s="367" t="e">
        <f t="shared" si="46"/>
        <v>#REF!</v>
      </c>
      <c r="J222" s="367" t="e">
        <f t="shared" si="47"/>
        <v>#REF!</v>
      </c>
      <c r="K222" s="367" t="e">
        <f t="shared" si="48"/>
        <v>#REF!</v>
      </c>
      <c r="L222" s="278"/>
      <c r="M222" s="262" t="s">
        <v>726</v>
      </c>
      <c r="O222">
        <v>228</v>
      </c>
      <c r="P222">
        <v>318</v>
      </c>
      <c r="Q222">
        <v>16.7</v>
      </c>
    </row>
    <row r="223" spans="1:17" x14ac:dyDescent="0.25">
      <c r="A223" s="624"/>
      <c r="B223" s="626"/>
      <c r="C223" s="257" t="s">
        <v>728</v>
      </c>
      <c r="D223" s="258" t="s">
        <v>461</v>
      </c>
      <c r="E223" s="258" t="e">
        <f>VLOOKUP(C223,#REF!,3,0)</f>
        <v>#REF!</v>
      </c>
      <c r="F223" s="263">
        <v>457</v>
      </c>
      <c r="G223" s="260">
        <v>635</v>
      </c>
      <c r="H223" s="261">
        <v>33.5</v>
      </c>
      <c r="I223" s="367" t="e">
        <f t="shared" si="46"/>
        <v>#REF!</v>
      </c>
      <c r="J223" s="367" t="e">
        <f t="shared" si="47"/>
        <v>#REF!</v>
      </c>
      <c r="K223" s="367" t="e">
        <f t="shared" si="48"/>
        <v>#REF!</v>
      </c>
      <c r="L223" s="278"/>
      <c r="M223" s="262" t="s">
        <v>726</v>
      </c>
      <c r="O223">
        <v>457</v>
      </c>
      <c r="P223">
        <v>635</v>
      </c>
      <c r="Q223">
        <v>33.5</v>
      </c>
    </row>
    <row r="224" spans="1:17" x14ac:dyDescent="0.25">
      <c r="A224" s="624"/>
      <c r="B224" s="626"/>
      <c r="C224" s="257" t="s">
        <v>729</v>
      </c>
      <c r="D224" s="258" t="s">
        <v>461</v>
      </c>
      <c r="E224" s="258" t="e">
        <f>VLOOKUP(C224,#REF!,3,0)</f>
        <v>#REF!</v>
      </c>
      <c r="F224" s="263">
        <v>685</v>
      </c>
      <c r="G224" s="260">
        <v>953</v>
      </c>
      <c r="H224" s="261">
        <v>50.2</v>
      </c>
      <c r="I224" s="367" t="e">
        <f t="shared" si="46"/>
        <v>#REF!</v>
      </c>
      <c r="J224" s="367" t="e">
        <f t="shared" si="47"/>
        <v>#REF!</v>
      </c>
      <c r="K224" s="367" t="e">
        <f t="shared" si="48"/>
        <v>#REF!</v>
      </c>
      <c r="L224" s="278"/>
      <c r="M224" s="262" t="s">
        <v>726</v>
      </c>
      <c r="O224">
        <v>685</v>
      </c>
      <c r="P224">
        <v>953</v>
      </c>
      <c r="Q224">
        <v>50.2</v>
      </c>
    </row>
    <row r="225" spans="1:17" x14ac:dyDescent="0.25">
      <c r="A225" s="624"/>
      <c r="B225" s="626"/>
      <c r="C225" s="257" t="s">
        <v>730</v>
      </c>
      <c r="D225" s="258" t="s">
        <v>461</v>
      </c>
      <c r="E225" s="258" t="e">
        <f>VLOOKUP(C225,#REF!,3,0)</f>
        <v>#REF!</v>
      </c>
      <c r="F225" s="263">
        <v>1371</v>
      </c>
      <c r="G225" s="260">
        <v>1905</v>
      </c>
      <c r="H225" s="261">
        <v>100</v>
      </c>
      <c r="I225" s="367" t="e">
        <f t="shared" si="46"/>
        <v>#REF!</v>
      </c>
      <c r="J225" s="367" t="e">
        <f t="shared" si="47"/>
        <v>#REF!</v>
      </c>
      <c r="K225" s="367" t="e">
        <f t="shared" si="48"/>
        <v>#REF!</v>
      </c>
      <c r="L225" s="278"/>
      <c r="M225" s="262" t="s">
        <v>726</v>
      </c>
      <c r="O225">
        <v>1371</v>
      </c>
      <c r="P225">
        <v>1905</v>
      </c>
      <c r="Q225">
        <v>100</v>
      </c>
    </row>
    <row r="226" spans="1:17" x14ac:dyDescent="0.25">
      <c r="A226" s="624"/>
      <c r="B226" s="626"/>
      <c r="C226" s="257" t="s">
        <v>731</v>
      </c>
      <c r="D226" s="258" t="s">
        <v>419</v>
      </c>
      <c r="E226" s="258" t="e">
        <f>VLOOKUP(C226,#REF!,3,0)</f>
        <v>#REF!</v>
      </c>
      <c r="F226" s="263">
        <v>230</v>
      </c>
      <c r="G226" s="260">
        <v>215</v>
      </c>
      <c r="H226" s="261">
        <v>15.4</v>
      </c>
      <c r="I226" s="367" t="e">
        <f t="shared" si="46"/>
        <v>#REF!</v>
      </c>
      <c r="J226" s="367" t="e">
        <f t="shared" si="47"/>
        <v>#REF!</v>
      </c>
      <c r="K226" s="367" t="e">
        <f t="shared" si="48"/>
        <v>#REF!</v>
      </c>
      <c r="L226" s="278"/>
      <c r="M226" s="262" t="s">
        <v>732</v>
      </c>
      <c r="O226">
        <v>230</v>
      </c>
      <c r="P226">
        <v>215</v>
      </c>
      <c r="Q226">
        <v>15.4</v>
      </c>
    </row>
    <row r="227" spans="1:17" x14ac:dyDescent="0.25">
      <c r="A227" s="624"/>
      <c r="B227" s="626"/>
      <c r="C227" s="257" t="s">
        <v>733</v>
      </c>
      <c r="D227" s="258" t="s">
        <v>461</v>
      </c>
      <c r="E227" s="258" t="e">
        <f>VLOOKUP(C227,#REF!,3,0)</f>
        <v>#REF!</v>
      </c>
      <c r="F227" s="263">
        <v>822</v>
      </c>
      <c r="G227" s="260">
        <v>768</v>
      </c>
      <c r="H227" s="261">
        <v>54.9</v>
      </c>
      <c r="I227" s="367" t="e">
        <f t="shared" si="46"/>
        <v>#REF!</v>
      </c>
      <c r="J227" s="367" t="e">
        <f t="shared" si="47"/>
        <v>#REF!</v>
      </c>
      <c r="K227" s="367" t="e">
        <f t="shared" si="48"/>
        <v>#REF!</v>
      </c>
      <c r="L227" s="278"/>
      <c r="M227" s="262" t="s">
        <v>732</v>
      </c>
      <c r="O227">
        <v>822</v>
      </c>
      <c r="P227">
        <v>768</v>
      </c>
      <c r="Q227">
        <v>54.9</v>
      </c>
    </row>
    <row r="228" spans="1:17" x14ac:dyDescent="0.25">
      <c r="A228" s="624"/>
      <c r="B228" s="626"/>
      <c r="C228" s="257" t="s">
        <v>734</v>
      </c>
      <c r="D228" s="258" t="s">
        <v>461</v>
      </c>
      <c r="E228" s="258" t="e">
        <f>VLOOKUP(C228,#REF!,3,0)</f>
        <v>#REF!</v>
      </c>
      <c r="F228" s="263">
        <v>1096</v>
      </c>
      <c r="G228" s="260">
        <v>1023</v>
      </c>
      <c r="H228" s="261">
        <v>73.2</v>
      </c>
      <c r="I228" s="367" t="e">
        <f t="shared" si="46"/>
        <v>#REF!</v>
      </c>
      <c r="J228" s="367" t="e">
        <f t="shared" si="47"/>
        <v>#REF!</v>
      </c>
      <c r="K228" s="367" t="e">
        <f t="shared" si="48"/>
        <v>#REF!</v>
      </c>
      <c r="L228" s="278"/>
      <c r="M228" s="262" t="s">
        <v>732</v>
      </c>
      <c r="O228">
        <v>1096</v>
      </c>
      <c r="P228">
        <v>1023</v>
      </c>
      <c r="Q228">
        <v>73.2</v>
      </c>
    </row>
    <row r="229" spans="1:17" x14ac:dyDescent="0.25">
      <c r="A229" s="624"/>
      <c r="B229" s="626"/>
      <c r="C229" s="257" t="s">
        <v>735</v>
      </c>
      <c r="D229" s="258" t="s">
        <v>461</v>
      </c>
      <c r="E229" s="258" t="e">
        <f>VLOOKUP(C229,#REF!,3,0)</f>
        <v>#REF!</v>
      </c>
      <c r="F229" s="263">
        <v>1370</v>
      </c>
      <c r="G229" s="260">
        <v>1279</v>
      </c>
      <c r="H229" s="261">
        <v>91.4</v>
      </c>
      <c r="I229" s="367" t="e">
        <f t="shared" si="46"/>
        <v>#REF!</v>
      </c>
      <c r="J229" s="367" t="e">
        <f t="shared" si="47"/>
        <v>#REF!</v>
      </c>
      <c r="K229" s="367" t="e">
        <f t="shared" si="48"/>
        <v>#REF!</v>
      </c>
      <c r="L229" s="278"/>
      <c r="M229" s="262" t="s">
        <v>732</v>
      </c>
      <c r="O229">
        <v>1370</v>
      </c>
      <c r="P229">
        <v>1279</v>
      </c>
      <c r="Q229">
        <v>91.4</v>
      </c>
    </row>
    <row r="230" spans="1:17" x14ac:dyDescent="0.25">
      <c r="A230" s="624"/>
      <c r="B230" s="626"/>
      <c r="C230" s="257" t="s">
        <v>736</v>
      </c>
      <c r="D230" s="258" t="s">
        <v>461</v>
      </c>
      <c r="E230" s="258" t="e">
        <f>VLOOKUP(C230,#REF!,3,0)</f>
        <v>#REF!</v>
      </c>
      <c r="F230" s="263">
        <v>1644</v>
      </c>
      <c r="G230" s="260">
        <v>1535</v>
      </c>
      <c r="H230" s="261">
        <v>110</v>
      </c>
      <c r="I230" s="367" t="e">
        <f t="shared" si="46"/>
        <v>#REF!</v>
      </c>
      <c r="J230" s="367" t="e">
        <f t="shared" si="47"/>
        <v>#REF!</v>
      </c>
      <c r="K230" s="367" t="e">
        <f t="shared" si="48"/>
        <v>#REF!</v>
      </c>
      <c r="L230" s="278"/>
      <c r="M230" s="262" t="s">
        <v>732</v>
      </c>
      <c r="O230">
        <v>1644</v>
      </c>
      <c r="P230">
        <v>1535</v>
      </c>
      <c r="Q230">
        <v>110</v>
      </c>
    </row>
    <row r="231" spans="1:17" x14ac:dyDescent="0.25">
      <c r="A231" s="624"/>
      <c r="B231" s="626"/>
      <c r="C231" s="257" t="s">
        <v>737</v>
      </c>
      <c r="D231" s="258" t="s">
        <v>461</v>
      </c>
      <c r="E231" s="258" t="e">
        <f>VLOOKUP(C231,#REF!,3,0)</f>
        <v>#REF!</v>
      </c>
      <c r="F231" s="263">
        <v>2192</v>
      </c>
      <c r="G231" s="260">
        <v>2047</v>
      </c>
      <c r="H231" s="261">
        <v>146</v>
      </c>
      <c r="I231" s="367" t="e">
        <f t="shared" si="46"/>
        <v>#REF!</v>
      </c>
      <c r="J231" s="367" t="e">
        <f t="shared" si="47"/>
        <v>#REF!</v>
      </c>
      <c r="K231" s="367" t="e">
        <f t="shared" si="48"/>
        <v>#REF!</v>
      </c>
      <c r="L231" s="278"/>
      <c r="M231" s="262" t="s">
        <v>732</v>
      </c>
      <c r="O231">
        <v>2192</v>
      </c>
      <c r="P231">
        <v>2047</v>
      </c>
      <c r="Q231">
        <v>146</v>
      </c>
    </row>
    <row r="232" spans="1:17" x14ac:dyDescent="0.25">
      <c r="A232" s="624"/>
      <c r="B232" s="626"/>
      <c r="C232" s="257" t="s">
        <v>738</v>
      </c>
      <c r="D232" s="258" t="s">
        <v>461</v>
      </c>
      <c r="E232" s="258" t="e">
        <f>VLOOKUP(C232,#REF!,3,0)</f>
        <v>#REF!</v>
      </c>
      <c r="F232" s="263">
        <v>2740</v>
      </c>
      <c r="G232" s="260">
        <v>2558</v>
      </c>
      <c r="H232" s="261">
        <v>183</v>
      </c>
      <c r="I232" s="367" t="e">
        <f t="shared" si="46"/>
        <v>#REF!</v>
      </c>
      <c r="J232" s="367" t="e">
        <f t="shared" si="47"/>
        <v>#REF!</v>
      </c>
      <c r="K232" s="367" t="e">
        <f t="shared" si="48"/>
        <v>#REF!</v>
      </c>
      <c r="L232" s="278"/>
      <c r="M232" s="262" t="s">
        <v>732</v>
      </c>
      <c r="O232">
        <v>2740</v>
      </c>
      <c r="P232">
        <v>2558</v>
      </c>
      <c r="Q232">
        <v>183</v>
      </c>
    </row>
    <row r="233" spans="1:17" x14ac:dyDescent="0.25">
      <c r="A233" s="624"/>
      <c r="B233" s="625" t="s">
        <v>739</v>
      </c>
      <c r="C233" s="257" t="s">
        <v>740</v>
      </c>
      <c r="D233" s="258" t="s">
        <v>419</v>
      </c>
      <c r="E233" s="258" t="e">
        <f>VLOOKUP(C233,#REF!,3,0)</f>
        <v>#REF!</v>
      </c>
      <c r="F233" s="263">
        <v>159</v>
      </c>
      <c r="G233" s="260">
        <v>186</v>
      </c>
      <c r="H233" s="261">
        <v>7.4</v>
      </c>
      <c r="I233" s="367" t="e">
        <f t="shared" ref="I233:I240" si="49">_xlfn.IFNA($E233*F233,0)</f>
        <v>#REF!</v>
      </c>
      <c r="J233" s="367" t="e">
        <f t="shared" ref="J233:J240" si="50">_xlfn.IFNA($E233*G233,0)</f>
        <v>#REF!</v>
      </c>
      <c r="K233" s="367" t="e">
        <f t="shared" ref="K233:K240" si="51">_xlfn.IFNA($E233*H233,0)</f>
        <v>#REF!</v>
      </c>
      <c r="L233" s="278"/>
      <c r="M233" s="262" t="s">
        <v>741</v>
      </c>
      <c r="O233">
        <v>159</v>
      </c>
      <c r="P233">
        <v>186</v>
      </c>
      <c r="Q233">
        <v>7.4</v>
      </c>
    </row>
    <row r="234" spans="1:17" x14ac:dyDescent="0.25">
      <c r="A234" s="624"/>
      <c r="B234" s="626"/>
      <c r="C234" s="257" t="s">
        <v>742</v>
      </c>
      <c r="D234" s="258" t="s">
        <v>461</v>
      </c>
      <c r="E234" s="258" t="e">
        <f>VLOOKUP(C234,#REF!,3,0)</f>
        <v>#REF!</v>
      </c>
      <c r="F234" s="263">
        <v>287</v>
      </c>
      <c r="G234" s="260">
        <v>335</v>
      </c>
      <c r="H234" s="261">
        <v>13.4</v>
      </c>
      <c r="I234" s="367" t="e">
        <f t="shared" si="49"/>
        <v>#REF!</v>
      </c>
      <c r="J234" s="367" t="e">
        <f t="shared" si="50"/>
        <v>#REF!</v>
      </c>
      <c r="K234" s="367" t="e">
        <f t="shared" si="51"/>
        <v>#REF!</v>
      </c>
      <c r="L234" s="278"/>
      <c r="M234" s="262" t="s">
        <v>741</v>
      </c>
      <c r="O234">
        <v>287</v>
      </c>
      <c r="P234">
        <v>335</v>
      </c>
      <c r="Q234">
        <v>13.4</v>
      </c>
    </row>
    <row r="235" spans="1:17" x14ac:dyDescent="0.25">
      <c r="A235" s="624"/>
      <c r="B235" s="626"/>
      <c r="C235" s="257" t="s">
        <v>743</v>
      </c>
      <c r="D235" s="258" t="s">
        <v>461</v>
      </c>
      <c r="E235" s="258" t="e">
        <f>VLOOKUP(C235,#REF!,3,0)</f>
        <v>#REF!</v>
      </c>
      <c r="F235" s="263">
        <v>431</v>
      </c>
      <c r="G235" s="260">
        <v>502</v>
      </c>
      <c r="H235" s="261">
        <v>20</v>
      </c>
      <c r="I235" s="367" t="e">
        <f t="shared" si="49"/>
        <v>#REF!</v>
      </c>
      <c r="J235" s="367" t="e">
        <f t="shared" si="50"/>
        <v>#REF!</v>
      </c>
      <c r="K235" s="367" t="e">
        <f t="shared" si="51"/>
        <v>#REF!</v>
      </c>
      <c r="L235" s="278"/>
      <c r="M235" s="262" t="s">
        <v>741</v>
      </c>
      <c r="O235">
        <v>431</v>
      </c>
      <c r="P235">
        <v>502</v>
      </c>
      <c r="Q235">
        <v>20</v>
      </c>
    </row>
    <row r="236" spans="1:17" x14ac:dyDescent="0.25">
      <c r="A236" s="624"/>
      <c r="B236" s="626"/>
      <c r="C236" s="257" t="s">
        <v>744</v>
      </c>
      <c r="D236" s="258" t="s">
        <v>461</v>
      </c>
      <c r="E236" s="258" t="e">
        <f>VLOOKUP(C236,#REF!,3,0)</f>
        <v>#REF!</v>
      </c>
      <c r="F236" s="263">
        <v>574</v>
      </c>
      <c r="G236" s="260">
        <v>670</v>
      </c>
      <c r="H236" s="261">
        <v>26.7</v>
      </c>
      <c r="I236" s="367" t="e">
        <f t="shared" si="49"/>
        <v>#REF!</v>
      </c>
      <c r="J236" s="367" t="e">
        <f t="shared" si="50"/>
        <v>#REF!</v>
      </c>
      <c r="K236" s="367" t="e">
        <f t="shared" si="51"/>
        <v>#REF!</v>
      </c>
      <c r="L236" s="278"/>
      <c r="M236" s="262" t="s">
        <v>741</v>
      </c>
      <c r="O236">
        <v>574</v>
      </c>
      <c r="P236">
        <v>670</v>
      </c>
      <c r="Q236">
        <v>26.7</v>
      </c>
    </row>
    <row r="237" spans="1:17" x14ac:dyDescent="0.25">
      <c r="A237" s="624"/>
      <c r="B237" s="626"/>
      <c r="C237" s="257" t="s">
        <v>745</v>
      </c>
      <c r="D237" s="258" t="s">
        <v>461</v>
      </c>
      <c r="E237" s="258" t="e">
        <f>VLOOKUP(C237,#REF!,3,0)</f>
        <v>#REF!</v>
      </c>
      <c r="F237" s="263">
        <v>861</v>
      </c>
      <c r="G237" s="260">
        <v>1005</v>
      </c>
      <c r="H237" s="261">
        <v>40.1</v>
      </c>
      <c r="I237" s="367" t="e">
        <f t="shared" si="49"/>
        <v>#REF!</v>
      </c>
      <c r="J237" s="367" t="e">
        <f t="shared" si="50"/>
        <v>#REF!</v>
      </c>
      <c r="K237" s="367" t="e">
        <f t="shared" si="51"/>
        <v>#REF!</v>
      </c>
      <c r="L237" s="278"/>
      <c r="M237" s="262" t="s">
        <v>741</v>
      </c>
      <c r="O237">
        <v>861</v>
      </c>
      <c r="P237">
        <v>1005</v>
      </c>
      <c r="Q237">
        <v>40.1</v>
      </c>
    </row>
    <row r="238" spans="1:17" x14ac:dyDescent="0.25">
      <c r="A238" s="624"/>
      <c r="B238" s="626"/>
      <c r="C238" s="257" t="s">
        <v>746</v>
      </c>
      <c r="D238" s="258" t="s">
        <v>461</v>
      </c>
      <c r="E238" s="258" t="e">
        <f>VLOOKUP(C238,#REF!,3,0)</f>
        <v>#REF!</v>
      </c>
      <c r="F238" s="263">
        <v>1435</v>
      </c>
      <c r="G238" s="260">
        <v>1675</v>
      </c>
      <c r="H238" s="261">
        <v>66.8</v>
      </c>
      <c r="I238" s="367" t="e">
        <f t="shared" si="49"/>
        <v>#REF!</v>
      </c>
      <c r="J238" s="367" t="e">
        <f t="shared" si="50"/>
        <v>#REF!</v>
      </c>
      <c r="K238" s="367" t="e">
        <f t="shared" si="51"/>
        <v>#REF!</v>
      </c>
      <c r="L238" s="278"/>
      <c r="M238" s="262" t="s">
        <v>741</v>
      </c>
      <c r="O238">
        <v>1435</v>
      </c>
      <c r="P238">
        <v>1675</v>
      </c>
      <c r="Q238">
        <v>66.8</v>
      </c>
    </row>
    <row r="239" spans="1:17" x14ac:dyDescent="0.25">
      <c r="A239" s="624"/>
      <c r="B239" s="626"/>
      <c r="C239" s="257" t="s">
        <v>747</v>
      </c>
      <c r="D239" s="258" t="s">
        <v>461</v>
      </c>
      <c r="E239" s="258" t="e">
        <f>VLOOKUP(C239,#REF!,3,0)</f>
        <v>#REF!</v>
      </c>
      <c r="F239" s="263">
        <v>1722</v>
      </c>
      <c r="G239" s="260">
        <v>2010</v>
      </c>
      <c r="H239" s="261">
        <v>80.2</v>
      </c>
      <c r="I239" s="367" t="e">
        <f t="shared" si="49"/>
        <v>#REF!</v>
      </c>
      <c r="J239" s="367" t="e">
        <f t="shared" si="50"/>
        <v>#REF!</v>
      </c>
      <c r="K239" s="367" t="e">
        <f t="shared" si="51"/>
        <v>#REF!</v>
      </c>
      <c r="L239" s="278"/>
      <c r="M239" s="262" t="s">
        <v>741</v>
      </c>
      <c r="O239">
        <v>1722</v>
      </c>
      <c r="P239">
        <v>2010</v>
      </c>
      <c r="Q239">
        <v>80.2</v>
      </c>
    </row>
    <row r="240" spans="1:17" x14ac:dyDescent="0.25">
      <c r="A240" s="624"/>
      <c r="B240" s="626"/>
      <c r="C240" s="257" t="s">
        <v>748</v>
      </c>
      <c r="D240" s="258" t="s">
        <v>461</v>
      </c>
      <c r="E240" s="258" t="e">
        <f>VLOOKUP(C240,#REF!,3,0)</f>
        <v>#REF!</v>
      </c>
      <c r="F240" s="263">
        <v>2153</v>
      </c>
      <c r="G240" s="260">
        <v>2512</v>
      </c>
      <c r="H240" s="261">
        <v>100</v>
      </c>
      <c r="I240" s="367" t="e">
        <f t="shared" si="49"/>
        <v>#REF!</v>
      </c>
      <c r="J240" s="367" t="e">
        <f t="shared" si="50"/>
        <v>#REF!</v>
      </c>
      <c r="K240" s="367" t="e">
        <f t="shared" si="51"/>
        <v>#REF!</v>
      </c>
      <c r="L240" s="278"/>
      <c r="M240" s="262" t="s">
        <v>741</v>
      </c>
      <c r="O240">
        <v>2153</v>
      </c>
      <c r="P240">
        <v>2512</v>
      </c>
      <c r="Q240">
        <v>100</v>
      </c>
    </row>
    <row r="241" spans="1:17" x14ac:dyDescent="0.25">
      <c r="A241" s="624"/>
      <c r="B241" s="625" t="s">
        <v>543</v>
      </c>
      <c r="C241" s="257" t="s">
        <v>749</v>
      </c>
      <c r="D241" s="258" t="s">
        <v>419</v>
      </c>
      <c r="E241" s="258" t="e">
        <f>VLOOKUP(C241,#REF!,3,0)</f>
        <v>#REF!</v>
      </c>
      <c r="F241" s="263">
        <v>127</v>
      </c>
      <c r="G241" s="260">
        <v>443</v>
      </c>
      <c r="H241" s="261">
        <v>7.7</v>
      </c>
      <c r="I241" s="367" t="e">
        <f t="shared" ref="I241:I245" si="52">_xlfn.IFNA($E241*F241,0)</f>
        <v>#REF!</v>
      </c>
      <c r="J241" s="367" t="e">
        <f t="shared" ref="J241:J245" si="53">_xlfn.IFNA($E241*G241,0)</f>
        <v>#REF!</v>
      </c>
      <c r="K241" s="367" t="e">
        <f t="shared" ref="K241:K245" si="54">_xlfn.IFNA($E241*H241,0)</f>
        <v>#REF!</v>
      </c>
      <c r="L241" s="278"/>
      <c r="M241" s="262" t="s">
        <v>750</v>
      </c>
      <c r="O241">
        <v>127</v>
      </c>
      <c r="P241">
        <v>443</v>
      </c>
      <c r="Q241">
        <v>7.7</v>
      </c>
    </row>
    <row r="242" spans="1:17" x14ac:dyDescent="0.25">
      <c r="A242" s="624"/>
      <c r="B242" s="626"/>
      <c r="C242" s="257" t="s">
        <v>751</v>
      </c>
      <c r="D242" s="258" t="s">
        <v>461</v>
      </c>
      <c r="E242" s="258" t="e">
        <f>VLOOKUP(C242,#REF!,3,0)</f>
        <v>#REF!</v>
      </c>
      <c r="F242" s="263">
        <v>56.8</v>
      </c>
      <c r="G242" s="260">
        <v>198</v>
      </c>
      <c r="H242" s="261">
        <v>3.4</v>
      </c>
      <c r="I242" s="367" t="e">
        <f t="shared" si="52"/>
        <v>#REF!</v>
      </c>
      <c r="J242" s="367" t="e">
        <f t="shared" si="53"/>
        <v>#REF!</v>
      </c>
      <c r="K242" s="367" t="e">
        <f t="shared" si="54"/>
        <v>#REF!</v>
      </c>
      <c r="L242" s="278"/>
      <c r="M242" s="262" t="s">
        <v>750</v>
      </c>
      <c r="O242">
        <v>56.8</v>
      </c>
      <c r="P242">
        <v>198</v>
      </c>
      <c r="Q242">
        <v>3.4</v>
      </c>
    </row>
    <row r="243" spans="1:17" x14ac:dyDescent="0.25">
      <c r="A243" s="624"/>
      <c r="B243" s="626"/>
      <c r="C243" s="257" t="s">
        <v>752</v>
      </c>
      <c r="D243" s="258" t="s">
        <v>461</v>
      </c>
      <c r="E243" s="258" t="e">
        <f>VLOOKUP(C243,#REF!,3,0)</f>
        <v>#REF!</v>
      </c>
      <c r="F243" s="263">
        <v>61.4</v>
      </c>
      <c r="G243" s="260">
        <v>214</v>
      </c>
      <c r="H243" s="261">
        <v>3.7</v>
      </c>
      <c r="I243" s="367" t="e">
        <f t="shared" si="52"/>
        <v>#REF!</v>
      </c>
      <c r="J243" s="367" t="e">
        <f t="shared" si="53"/>
        <v>#REF!</v>
      </c>
      <c r="K243" s="367" t="e">
        <f t="shared" si="54"/>
        <v>#REF!</v>
      </c>
      <c r="L243" s="278"/>
      <c r="M243" s="262" t="s">
        <v>750</v>
      </c>
      <c r="O243">
        <v>61.4</v>
      </c>
      <c r="P243">
        <v>214</v>
      </c>
      <c r="Q243">
        <v>3.7</v>
      </c>
    </row>
    <row r="244" spans="1:17" x14ac:dyDescent="0.25">
      <c r="A244" s="624"/>
      <c r="B244" s="626"/>
      <c r="C244" s="257" t="s">
        <v>753</v>
      </c>
      <c r="D244" s="258" t="s">
        <v>461</v>
      </c>
      <c r="E244" s="258" t="e">
        <f>VLOOKUP(C244,#REF!,3,0)</f>
        <v>#REF!</v>
      </c>
      <c r="F244" s="263">
        <v>92.5</v>
      </c>
      <c r="G244" s="260">
        <v>323</v>
      </c>
      <c r="H244" s="261">
        <v>5.6</v>
      </c>
      <c r="I244" s="367" t="e">
        <f t="shared" si="52"/>
        <v>#REF!</v>
      </c>
      <c r="J244" s="367" t="e">
        <f t="shared" si="53"/>
        <v>#REF!</v>
      </c>
      <c r="K244" s="367" t="e">
        <f t="shared" si="54"/>
        <v>#REF!</v>
      </c>
      <c r="L244" s="278"/>
      <c r="M244" s="262" t="s">
        <v>750</v>
      </c>
      <c r="O244">
        <v>92.5</v>
      </c>
      <c r="P244">
        <v>323</v>
      </c>
      <c r="Q244">
        <v>5.6</v>
      </c>
    </row>
    <row r="245" spans="1:17" x14ac:dyDescent="0.25">
      <c r="A245" s="624"/>
      <c r="B245" s="626"/>
      <c r="C245" s="257" t="s">
        <v>754</v>
      </c>
      <c r="D245" s="258" t="s">
        <v>461</v>
      </c>
      <c r="E245" s="258" t="e">
        <f>VLOOKUP(C245,#REF!,3,0)</f>
        <v>#REF!</v>
      </c>
      <c r="F245" s="263">
        <v>156</v>
      </c>
      <c r="G245" s="260">
        <v>543</v>
      </c>
      <c r="H245" s="261">
        <v>9.4</v>
      </c>
      <c r="I245" s="367" t="e">
        <f t="shared" si="52"/>
        <v>#REF!</v>
      </c>
      <c r="J245" s="367" t="e">
        <f t="shared" si="53"/>
        <v>#REF!</v>
      </c>
      <c r="K245" s="367" t="e">
        <f t="shared" si="54"/>
        <v>#REF!</v>
      </c>
      <c r="L245" s="278"/>
      <c r="M245" s="262" t="s">
        <v>750</v>
      </c>
      <c r="O245">
        <v>156</v>
      </c>
      <c r="P245">
        <v>543</v>
      </c>
      <c r="Q245">
        <v>9.4</v>
      </c>
    </row>
    <row r="246" spans="1:17" x14ac:dyDescent="0.25">
      <c r="A246" s="624"/>
      <c r="B246" s="625" t="s">
        <v>755</v>
      </c>
      <c r="C246" s="257" t="s">
        <v>756</v>
      </c>
      <c r="D246" s="258" t="s">
        <v>419</v>
      </c>
      <c r="E246" s="258" t="e">
        <f>VLOOKUP(C246,#REF!,3,0)</f>
        <v>#REF!</v>
      </c>
      <c r="F246" s="263">
        <v>190</v>
      </c>
      <c r="G246" s="260">
        <v>758</v>
      </c>
      <c r="H246" s="261">
        <v>11.2</v>
      </c>
      <c r="I246" s="367" t="e">
        <f t="shared" ref="I246:I253" si="55">_xlfn.IFNA($E246*F246,0)</f>
        <v>#REF!</v>
      </c>
      <c r="J246" s="367" t="e">
        <f t="shared" ref="J246:J253" si="56">_xlfn.IFNA($E246*G246,0)</f>
        <v>#REF!</v>
      </c>
      <c r="K246" s="367" t="e">
        <f t="shared" ref="K246:K253" si="57">_xlfn.IFNA($E246*H246,0)</f>
        <v>#REF!</v>
      </c>
      <c r="L246" s="278"/>
      <c r="M246" s="262" t="s">
        <v>757</v>
      </c>
      <c r="O246">
        <v>190</v>
      </c>
      <c r="P246">
        <v>758</v>
      </c>
      <c r="Q246">
        <v>11.2</v>
      </c>
    </row>
    <row r="247" spans="1:17" x14ac:dyDescent="0.25">
      <c r="A247" s="624"/>
      <c r="B247" s="626"/>
      <c r="C247" s="257" t="s">
        <v>758</v>
      </c>
      <c r="D247" s="258" t="s">
        <v>461</v>
      </c>
      <c r="E247" s="258" t="e">
        <f>VLOOKUP(C247,#REF!,3,0)</f>
        <v>#REF!</v>
      </c>
      <c r="F247" s="263">
        <v>5</v>
      </c>
      <c r="G247" s="260">
        <v>20</v>
      </c>
      <c r="H247" s="261">
        <v>0.3</v>
      </c>
      <c r="I247" s="367" t="e">
        <f t="shared" si="55"/>
        <v>#REF!</v>
      </c>
      <c r="J247" s="367" t="e">
        <f t="shared" si="56"/>
        <v>#REF!</v>
      </c>
      <c r="K247" s="367" t="e">
        <f t="shared" si="57"/>
        <v>#REF!</v>
      </c>
      <c r="L247" s="278"/>
      <c r="M247" s="262" t="s">
        <v>757</v>
      </c>
      <c r="O247">
        <v>5</v>
      </c>
      <c r="P247">
        <v>20</v>
      </c>
      <c r="Q247">
        <v>0.3</v>
      </c>
    </row>
    <row r="248" spans="1:17" x14ac:dyDescent="0.25">
      <c r="A248" s="624"/>
      <c r="B248" s="626"/>
      <c r="C248" s="257" t="s">
        <v>759</v>
      </c>
      <c r="D248" s="258" t="s">
        <v>461</v>
      </c>
      <c r="E248" s="258" t="e">
        <f>VLOOKUP(C248,#REF!,3,0)</f>
        <v>#REF!</v>
      </c>
      <c r="F248" s="263">
        <v>6.6</v>
      </c>
      <c r="G248" s="260">
        <v>26.3</v>
      </c>
      <c r="H248" s="261">
        <v>0.39</v>
      </c>
      <c r="I248" s="367" t="e">
        <f t="shared" si="55"/>
        <v>#REF!</v>
      </c>
      <c r="J248" s="367" t="e">
        <f t="shared" si="56"/>
        <v>#REF!</v>
      </c>
      <c r="K248" s="367" t="e">
        <f t="shared" si="57"/>
        <v>#REF!</v>
      </c>
      <c r="L248" s="278"/>
      <c r="M248" s="262" t="s">
        <v>757</v>
      </c>
      <c r="O248">
        <v>6.6</v>
      </c>
      <c r="P248">
        <v>26.3</v>
      </c>
      <c r="Q248">
        <v>0.39</v>
      </c>
    </row>
    <row r="249" spans="1:17" x14ac:dyDescent="0.25">
      <c r="A249" s="624"/>
      <c r="B249" s="626"/>
      <c r="C249" s="257" t="s">
        <v>760</v>
      </c>
      <c r="D249" s="258" t="s">
        <v>419</v>
      </c>
      <c r="E249" s="258" t="e">
        <f>VLOOKUP(C249,#REF!,3,0)</f>
        <v>#REF!</v>
      </c>
      <c r="F249" s="263">
        <v>76.3</v>
      </c>
      <c r="G249" s="260">
        <v>561</v>
      </c>
      <c r="H249" s="261">
        <v>4.2</v>
      </c>
      <c r="I249" s="367" t="e">
        <f t="shared" si="55"/>
        <v>#REF!</v>
      </c>
      <c r="J249" s="367" t="e">
        <f t="shared" si="56"/>
        <v>#REF!</v>
      </c>
      <c r="K249" s="367" t="e">
        <f t="shared" si="57"/>
        <v>#REF!</v>
      </c>
      <c r="L249" s="278"/>
      <c r="M249" s="262" t="s">
        <v>761</v>
      </c>
      <c r="O249">
        <v>76.3</v>
      </c>
      <c r="P249">
        <v>561</v>
      </c>
      <c r="Q249">
        <v>4.2</v>
      </c>
    </row>
    <row r="250" spans="1:17" x14ac:dyDescent="0.25">
      <c r="A250" s="624"/>
      <c r="B250" s="626"/>
      <c r="C250" s="257" t="s">
        <v>762</v>
      </c>
      <c r="D250" s="258" t="s">
        <v>553</v>
      </c>
      <c r="E250" s="258" t="e">
        <f>VLOOKUP(C250,#REF!,3,0)</f>
        <v>#REF!</v>
      </c>
      <c r="F250" s="263">
        <v>11.7</v>
      </c>
      <c r="G250" s="260">
        <v>86.2</v>
      </c>
      <c r="H250" s="261">
        <v>0.64</v>
      </c>
      <c r="I250" s="367" t="e">
        <f t="shared" si="55"/>
        <v>#REF!</v>
      </c>
      <c r="J250" s="367" t="e">
        <f t="shared" si="56"/>
        <v>#REF!</v>
      </c>
      <c r="K250" s="367" t="e">
        <f t="shared" si="57"/>
        <v>#REF!</v>
      </c>
      <c r="L250" s="278"/>
      <c r="M250" s="262" t="s">
        <v>761</v>
      </c>
      <c r="O250">
        <v>11.7</v>
      </c>
      <c r="P250">
        <v>86.2</v>
      </c>
      <c r="Q250">
        <v>0.64</v>
      </c>
    </row>
    <row r="251" spans="1:17" x14ac:dyDescent="0.25">
      <c r="A251" s="624"/>
      <c r="B251" s="626"/>
      <c r="C251" s="257" t="s">
        <v>763</v>
      </c>
      <c r="D251" s="258" t="s">
        <v>553</v>
      </c>
      <c r="E251" s="258" t="e">
        <f>VLOOKUP(C251,#REF!,3,0)</f>
        <v>#REF!</v>
      </c>
      <c r="F251" s="263">
        <v>50</v>
      </c>
      <c r="G251" s="260">
        <v>367</v>
      </c>
      <c r="H251" s="261">
        <v>2.7</v>
      </c>
      <c r="I251" s="367" t="e">
        <f t="shared" si="55"/>
        <v>#REF!</v>
      </c>
      <c r="J251" s="367" t="e">
        <f t="shared" si="56"/>
        <v>#REF!</v>
      </c>
      <c r="K251" s="367" t="e">
        <f t="shared" si="57"/>
        <v>#REF!</v>
      </c>
      <c r="L251" s="278"/>
      <c r="M251" s="262" t="s">
        <v>761</v>
      </c>
      <c r="O251">
        <v>50</v>
      </c>
      <c r="P251">
        <v>367</v>
      </c>
      <c r="Q251">
        <v>2.7</v>
      </c>
    </row>
    <row r="252" spans="1:17" x14ac:dyDescent="0.25">
      <c r="A252" s="624"/>
      <c r="B252" s="626"/>
      <c r="C252" s="257" t="s">
        <v>764</v>
      </c>
      <c r="D252" s="258" t="s">
        <v>553</v>
      </c>
      <c r="E252" s="258" t="e">
        <f>VLOOKUP(C252,#REF!,3,0)</f>
        <v>#REF!</v>
      </c>
      <c r="F252" s="263">
        <v>177</v>
      </c>
      <c r="G252" s="260">
        <v>1301</v>
      </c>
      <c r="H252" s="261">
        <v>9.6999999999999993</v>
      </c>
      <c r="I252" s="367" t="e">
        <f t="shared" si="55"/>
        <v>#REF!</v>
      </c>
      <c r="J252" s="367" t="e">
        <f t="shared" si="56"/>
        <v>#REF!</v>
      </c>
      <c r="K252" s="367" t="e">
        <f t="shared" si="57"/>
        <v>#REF!</v>
      </c>
      <c r="L252" s="278"/>
      <c r="M252" s="262" t="s">
        <v>761</v>
      </c>
      <c r="O252">
        <v>177</v>
      </c>
      <c r="P252">
        <v>1301</v>
      </c>
      <c r="Q252">
        <v>9.6999999999999993</v>
      </c>
    </row>
    <row r="253" spans="1:17" x14ac:dyDescent="0.25">
      <c r="A253" s="624"/>
      <c r="B253" s="626"/>
      <c r="C253" s="257" t="s">
        <v>765</v>
      </c>
      <c r="D253" s="258" t="s">
        <v>553</v>
      </c>
      <c r="E253" s="258" t="e">
        <f>VLOOKUP(C253,#REF!,3,0)</f>
        <v>#REF!</v>
      </c>
      <c r="F253" s="263">
        <v>792</v>
      </c>
      <c r="G253" s="260">
        <v>5826</v>
      </c>
      <c r="H253" s="261">
        <v>43.2</v>
      </c>
      <c r="I253" s="367" t="e">
        <f t="shared" si="55"/>
        <v>#REF!</v>
      </c>
      <c r="J253" s="367" t="e">
        <f t="shared" si="56"/>
        <v>#REF!</v>
      </c>
      <c r="K253" s="367" t="e">
        <f t="shared" si="57"/>
        <v>#REF!</v>
      </c>
      <c r="L253" s="278"/>
      <c r="M253" s="262" t="s">
        <v>761</v>
      </c>
      <c r="O253">
        <v>792</v>
      </c>
      <c r="P253">
        <v>5826</v>
      </c>
      <c r="Q253">
        <v>43.2</v>
      </c>
    </row>
    <row r="254" spans="1:17" x14ac:dyDescent="0.25">
      <c r="A254" s="623" t="s">
        <v>766</v>
      </c>
      <c r="B254" s="264" t="s">
        <v>767</v>
      </c>
      <c r="C254" s="257" t="s">
        <v>768</v>
      </c>
      <c r="D254" s="258" t="s">
        <v>419</v>
      </c>
      <c r="E254" s="258" t="e">
        <f>VLOOKUP(C254,#REF!,3,0)</f>
        <v>#REF!</v>
      </c>
      <c r="F254" s="263">
        <v>3.5</v>
      </c>
      <c r="G254" s="260">
        <v>1.8</v>
      </c>
      <c r="H254" s="261">
        <v>0.32</v>
      </c>
      <c r="I254" s="367" t="e">
        <f t="shared" ref="I254:I261" si="58">_xlfn.IFNA($E254*F254,0)</f>
        <v>#REF!</v>
      </c>
      <c r="J254" s="367" t="e">
        <f t="shared" ref="J254:J261" si="59">_xlfn.IFNA($E254*G254,0)</f>
        <v>#REF!</v>
      </c>
      <c r="K254" s="367" t="e">
        <f t="shared" ref="K254:K261" si="60">_xlfn.IFNA($E254*H254,0)</f>
        <v>#REF!</v>
      </c>
      <c r="L254" s="278"/>
      <c r="M254" s="262" t="s">
        <v>769</v>
      </c>
      <c r="O254">
        <v>3.5</v>
      </c>
      <c r="P254">
        <v>1.8</v>
      </c>
      <c r="Q254">
        <v>0.32</v>
      </c>
    </row>
    <row r="255" spans="1:17" x14ac:dyDescent="0.25">
      <c r="A255" s="624"/>
      <c r="B255" s="625" t="s">
        <v>527</v>
      </c>
      <c r="C255" s="257" t="s">
        <v>770</v>
      </c>
      <c r="D255" s="258" t="s">
        <v>419</v>
      </c>
      <c r="E255" s="258" t="e">
        <f>VLOOKUP(C255,#REF!,3,0)</f>
        <v>#REF!</v>
      </c>
      <c r="F255" s="263">
        <v>0.49</v>
      </c>
      <c r="G255" s="260">
        <v>1.9</v>
      </c>
      <c r="H255" s="261">
        <v>3.5999999999999997E-2</v>
      </c>
      <c r="I255" s="367" t="e">
        <f t="shared" si="58"/>
        <v>#REF!</v>
      </c>
      <c r="J255" s="367" t="e">
        <f t="shared" si="59"/>
        <v>#REF!</v>
      </c>
      <c r="K255" s="367" t="e">
        <f t="shared" si="60"/>
        <v>#REF!</v>
      </c>
      <c r="L255" s="278"/>
      <c r="M255" s="262" t="s">
        <v>771</v>
      </c>
      <c r="O255">
        <v>0.49</v>
      </c>
      <c r="P255">
        <v>1.9</v>
      </c>
      <c r="Q255">
        <v>3.5999999999999997E-2</v>
      </c>
    </row>
    <row r="256" spans="1:17" x14ac:dyDescent="0.25">
      <c r="A256" s="624"/>
      <c r="B256" s="626"/>
      <c r="C256" s="257" t="s">
        <v>772</v>
      </c>
      <c r="D256" s="258" t="s">
        <v>419</v>
      </c>
      <c r="E256" s="258" t="e">
        <f>VLOOKUP(C256,#REF!,3,0)</f>
        <v>#REF!</v>
      </c>
      <c r="F256" s="263">
        <v>0.11</v>
      </c>
      <c r="G256" s="260">
        <v>0.1</v>
      </c>
      <c r="H256" s="261">
        <v>8.0000000000000002E-3</v>
      </c>
      <c r="I256" s="367" t="e">
        <f t="shared" si="58"/>
        <v>#REF!</v>
      </c>
      <c r="J256" s="367" t="e">
        <f t="shared" si="59"/>
        <v>#REF!</v>
      </c>
      <c r="K256" s="367" t="e">
        <f t="shared" si="60"/>
        <v>#REF!</v>
      </c>
      <c r="L256" s="278"/>
      <c r="M256" s="262" t="s">
        <v>773</v>
      </c>
      <c r="O256">
        <v>0.11</v>
      </c>
      <c r="P256">
        <v>0.1</v>
      </c>
      <c r="Q256">
        <v>8.0000000000000002E-3</v>
      </c>
    </row>
    <row r="257" spans="1:17" x14ac:dyDescent="0.25">
      <c r="A257" s="624"/>
      <c r="B257" s="626"/>
      <c r="C257" s="257" t="s">
        <v>774</v>
      </c>
      <c r="D257" s="258" t="s">
        <v>419</v>
      </c>
      <c r="E257" s="258" t="e">
        <f>VLOOKUP(C257,#REF!,3,0)</f>
        <v>#REF!</v>
      </c>
      <c r="F257" s="263">
        <v>0.34</v>
      </c>
      <c r="G257" s="260">
        <v>1.8</v>
      </c>
      <c r="H257" s="261">
        <v>2.4E-2</v>
      </c>
      <c r="I257" s="367" t="e">
        <f t="shared" si="58"/>
        <v>#REF!</v>
      </c>
      <c r="J257" s="367" t="e">
        <f t="shared" si="59"/>
        <v>#REF!</v>
      </c>
      <c r="K257" s="367" t="e">
        <f t="shared" si="60"/>
        <v>#REF!</v>
      </c>
      <c r="L257" s="278"/>
      <c r="M257" s="262" t="s">
        <v>775</v>
      </c>
      <c r="O257">
        <v>0.34</v>
      </c>
      <c r="P257">
        <v>1.8</v>
      </c>
      <c r="Q257">
        <v>2.4E-2</v>
      </c>
    </row>
    <row r="258" spans="1:17" x14ac:dyDescent="0.25">
      <c r="A258" s="624"/>
      <c r="B258" s="626"/>
      <c r="C258" s="257" t="s">
        <v>776</v>
      </c>
      <c r="D258" s="258" t="s">
        <v>419</v>
      </c>
      <c r="E258" s="258" t="e">
        <f>VLOOKUP(C258,#REF!,3,0)</f>
        <v>#REF!</v>
      </c>
      <c r="F258" s="263">
        <v>98</v>
      </c>
      <c r="G258" s="260">
        <v>89.8</v>
      </c>
      <c r="H258" s="261">
        <v>6.4</v>
      </c>
      <c r="I258" s="367" t="e">
        <f t="shared" si="58"/>
        <v>#REF!</v>
      </c>
      <c r="J258" s="367" t="e">
        <f t="shared" si="59"/>
        <v>#REF!</v>
      </c>
      <c r="K258" s="367" t="e">
        <f t="shared" si="60"/>
        <v>#REF!</v>
      </c>
      <c r="L258" s="278"/>
      <c r="M258" s="262" t="s">
        <v>777</v>
      </c>
      <c r="O258">
        <v>98</v>
      </c>
      <c r="P258">
        <v>89.8</v>
      </c>
      <c r="Q258">
        <v>6.4</v>
      </c>
    </row>
    <row r="259" spans="1:17" x14ac:dyDescent="0.25">
      <c r="A259" s="624"/>
      <c r="B259" s="264" t="s">
        <v>778</v>
      </c>
      <c r="C259" s="257" t="s">
        <v>779</v>
      </c>
      <c r="D259" s="258" t="s">
        <v>419</v>
      </c>
      <c r="E259" s="258" t="e">
        <f>VLOOKUP(C259,#REF!,3,0)</f>
        <v>#REF!</v>
      </c>
      <c r="F259" s="263">
        <v>16.3</v>
      </c>
      <c r="G259" s="260">
        <v>16.5</v>
      </c>
      <c r="H259" s="261">
        <v>1.3</v>
      </c>
      <c r="I259" s="367" t="e">
        <f t="shared" si="58"/>
        <v>#REF!</v>
      </c>
      <c r="J259" s="367" t="e">
        <f t="shared" si="59"/>
        <v>#REF!</v>
      </c>
      <c r="K259" s="367" t="e">
        <f t="shared" si="60"/>
        <v>#REF!</v>
      </c>
      <c r="L259" s="278"/>
      <c r="M259" s="262" t="s">
        <v>780</v>
      </c>
      <c r="O259">
        <v>16.3</v>
      </c>
      <c r="P259">
        <v>16.5</v>
      </c>
      <c r="Q259">
        <v>1.3</v>
      </c>
    </row>
    <row r="260" spans="1:17" x14ac:dyDescent="0.25">
      <c r="A260" s="624"/>
      <c r="B260" s="625" t="s">
        <v>479</v>
      </c>
      <c r="C260" s="257" t="s">
        <v>781</v>
      </c>
      <c r="D260" s="258" t="s">
        <v>419</v>
      </c>
      <c r="E260" s="258" t="e">
        <f>VLOOKUP(C260,#REF!,3,0)</f>
        <v>#REF!</v>
      </c>
      <c r="F260" s="263">
        <v>18.899999999999999</v>
      </c>
      <c r="G260" s="260">
        <v>15.2</v>
      </c>
      <c r="H260" s="261">
        <v>1.3</v>
      </c>
      <c r="I260" s="367" t="e">
        <f t="shared" si="58"/>
        <v>#REF!</v>
      </c>
      <c r="J260" s="367" t="e">
        <f t="shared" si="59"/>
        <v>#REF!</v>
      </c>
      <c r="K260" s="367" t="e">
        <f t="shared" si="60"/>
        <v>#REF!</v>
      </c>
      <c r="L260" s="278"/>
      <c r="M260" s="262" t="s">
        <v>782</v>
      </c>
      <c r="O260">
        <v>18.899999999999999</v>
      </c>
      <c r="P260">
        <v>15.2</v>
      </c>
      <c r="Q260">
        <v>1.3</v>
      </c>
    </row>
    <row r="261" spans="1:17" x14ac:dyDescent="0.25">
      <c r="A261" s="624"/>
      <c r="B261" s="626"/>
      <c r="C261" s="257" t="s">
        <v>783</v>
      </c>
      <c r="D261" s="258" t="s">
        <v>419</v>
      </c>
      <c r="E261" s="258" t="e">
        <f>VLOOKUP(C261,#REF!,3,0)</f>
        <v>#REF!</v>
      </c>
      <c r="F261" s="263">
        <v>7.5</v>
      </c>
      <c r="G261" s="260">
        <v>4.7</v>
      </c>
      <c r="H261" s="261">
        <v>0.61</v>
      </c>
      <c r="I261" s="367" t="e">
        <f t="shared" si="58"/>
        <v>#REF!</v>
      </c>
      <c r="J261" s="367" t="e">
        <f t="shared" si="59"/>
        <v>#REF!</v>
      </c>
      <c r="K261" s="367" t="e">
        <f t="shared" si="60"/>
        <v>#REF!</v>
      </c>
      <c r="L261" s="278"/>
      <c r="M261" s="262" t="s">
        <v>784</v>
      </c>
      <c r="O261">
        <v>7.5</v>
      </c>
      <c r="P261">
        <v>4.7</v>
      </c>
      <c r="Q261">
        <v>0.61</v>
      </c>
    </row>
    <row r="262" spans="1:17" x14ac:dyDescent="0.25">
      <c r="A262" s="623" t="s">
        <v>785</v>
      </c>
      <c r="B262" s="625" t="s">
        <v>786</v>
      </c>
      <c r="C262" s="257" t="s">
        <v>787</v>
      </c>
      <c r="D262" s="258" t="s">
        <v>419</v>
      </c>
      <c r="E262" s="258" t="e">
        <f>VLOOKUP(C262,#REF!,3,0)</f>
        <v>#REF!</v>
      </c>
      <c r="F262" s="263">
        <v>179</v>
      </c>
      <c r="G262" s="260">
        <v>199</v>
      </c>
      <c r="H262" s="261">
        <v>9.5</v>
      </c>
      <c r="I262" s="367" t="e">
        <f t="shared" ref="I262:I291" si="61">_xlfn.IFNA($E262*F262,0)</f>
        <v>#REF!</v>
      </c>
      <c r="J262" s="367" t="e">
        <f t="shared" ref="J262:J291" si="62">_xlfn.IFNA($E262*G262,0)</f>
        <v>#REF!</v>
      </c>
      <c r="K262" s="367" t="e">
        <f t="shared" ref="K262:K291" si="63">_xlfn.IFNA($E262*H262,0)</f>
        <v>#REF!</v>
      </c>
      <c r="L262" s="278"/>
      <c r="M262" s="262" t="s">
        <v>788</v>
      </c>
      <c r="O262">
        <v>179</v>
      </c>
      <c r="P262">
        <v>199</v>
      </c>
      <c r="Q262">
        <v>9.5</v>
      </c>
    </row>
    <row r="263" spans="1:17" x14ac:dyDescent="0.25">
      <c r="A263" s="624"/>
      <c r="B263" s="626"/>
      <c r="C263" s="257" t="s">
        <v>789</v>
      </c>
      <c r="D263" s="258" t="s">
        <v>461</v>
      </c>
      <c r="E263" s="258" t="e">
        <f>VLOOKUP(C263,#REF!,3,0)</f>
        <v>#REF!</v>
      </c>
      <c r="F263" s="263">
        <v>129</v>
      </c>
      <c r="G263" s="260">
        <v>143</v>
      </c>
      <c r="H263" s="261">
        <v>6.8</v>
      </c>
      <c r="I263" s="367" t="e">
        <f t="shared" si="61"/>
        <v>#REF!</v>
      </c>
      <c r="J263" s="367" t="e">
        <f t="shared" si="62"/>
        <v>#REF!</v>
      </c>
      <c r="K263" s="367" t="e">
        <f t="shared" si="63"/>
        <v>#REF!</v>
      </c>
      <c r="L263" s="278"/>
      <c r="M263" s="262" t="s">
        <v>788</v>
      </c>
      <c r="O263">
        <v>129</v>
      </c>
      <c r="P263">
        <v>143</v>
      </c>
      <c r="Q263">
        <v>6.8</v>
      </c>
    </row>
    <row r="264" spans="1:17" x14ac:dyDescent="0.25">
      <c r="A264" s="624"/>
      <c r="B264" s="626"/>
      <c r="C264" s="257" t="s">
        <v>790</v>
      </c>
      <c r="D264" s="258" t="s">
        <v>461</v>
      </c>
      <c r="E264" s="258" t="e">
        <f>VLOOKUP(C264,#REF!,3,0)</f>
        <v>#REF!</v>
      </c>
      <c r="F264" s="263">
        <v>215</v>
      </c>
      <c r="G264" s="260">
        <v>238</v>
      </c>
      <c r="H264" s="261">
        <v>11.4</v>
      </c>
      <c r="I264" s="367" t="e">
        <f t="shared" si="61"/>
        <v>#REF!</v>
      </c>
      <c r="J264" s="367" t="e">
        <f t="shared" si="62"/>
        <v>#REF!</v>
      </c>
      <c r="K264" s="367" t="e">
        <f t="shared" si="63"/>
        <v>#REF!</v>
      </c>
      <c r="L264" s="278"/>
      <c r="M264" s="262" t="s">
        <v>788</v>
      </c>
      <c r="O264">
        <v>215</v>
      </c>
      <c r="P264">
        <v>238</v>
      </c>
      <c r="Q264">
        <v>11.4</v>
      </c>
    </row>
    <row r="265" spans="1:17" x14ac:dyDescent="0.25">
      <c r="A265" s="624"/>
      <c r="B265" s="626"/>
      <c r="C265" s="257" t="s">
        <v>791</v>
      </c>
      <c r="D265" s="258" t="s">
        <v>461</v>
      </c>
      <c r="E265" s="258" t="e">
        <f>VLOOKUP(C265,#REF!,3,0)</f>
        <v>#REF!</v>
      </c>
      <c r="F265" s="263">
        <v>258</v>
      </c>
      <c r="G265" s="260">
        <v>286</v>
      </c>
      <c r="H265" s="261">
        <v>13.6</v>
      </c>
      <c r="I265" s="367" t="e">
        <f t="shared" si="61"/>
        <v>#REF!</v>
      </c>
      <c r="J265" s="367" t="e">
        <f t="shared" si="62"/>
        <v>#REF!</v>
      </c>
      <c r="K265" s="367" t="e">
        <f t="shared" si="63"/>
        <v>#REF!</v>
      </c>
      <c r="L265" s="278"/>
      <c r="M265" s="262" t="s">
        <v>788</v>
      </c>
      <c r="O265">
        <v>258</v>
      </c>
      <c r="P265">
        <v>286</v>
      </c>
      <c r="Q265">
        <v>13.6</v>
      </c>
    </row>
    <row r="266" spans="1:17" x14ac:dyDescent="0.25">
      <c r="A266" s="624"/>
      <c r="B266" s="626"/>
      <c r="C266" s="257" t="s">
        <v>792</v>
      </c>
      <c r="D266" s="258" t="s">
        <v>461</v>
      </c>
      <c r="E266" s="258" t="e">
        <f>VLOOKUP(C266,#REF!,3,0)</f>
        <v>#REF!</v>
      </c>
      <c r="F266" s="263">
        <v>430</v>
      </c>
      <c r="G266" s="260">
        <v>477</v>
      </c>
      <c r="H266" s="261">
        <v>22.7</v>
      </c>
      <c r="I266" s="367" t="e">
        <f t="shared" si="61"/>
        <v>#REF!</v>
      </c>
      <c r="J266" s="367" t="e">
        <f t="shared" si="62"/>
        <v>#REF!</v>
      </c>
      <c r="K266" s="367" t="e">
        <f t="shared" si="63"/>
        <v>#REF!</v>
      </c>
      <c r="L266" s="278"/>
      <c r="M266" s="262" t="s">
        <v>788</v>
      </c>
      <c r="O266">
        <v>430</v>
      </c>
      <c r="P266">
        <v>477</v>
      </c>
      <c r="Q266">
        <v>22.7</v>
      </c>
    </row>
    <row r="267" spans="1:17" x14ac:dyDescent="0.25">
      <c r="A267" s="624"/>
      <c r="B267" s="626"/>
      <c r="C267" s="257" t="s">
        <v>793</v>
      </c>
      <c r="D267" s="258" t="s">
        <v>461</v>
      </c>
      <c r="E267" s="258" t="e">
        <f>VLOOKUP(C267,#REF!,3,0)</f>
        <v>#REF!</v>
      </c>
      <c r="F267" s="263">
        <v>1074</v>
      </c>
      <c r="G267" s="260">
        <v>1192</v>
      </c>
      <c r="H267" s="261">
        <v>56.8</v>
      </c>
      <c r="I267" s="367" t="e">
        <f t="shared" si="61"/>
        <v>#REF!</v>
      </c>
      <c r="J267" s="367" t="e">
        <f t="shared" si="62"/>
        <v>#REF!</v>
      </c>
      <c r="K267" s="367" t="e">
        <f t="shared" si="63"/>
        <v>#REF!</v>
      </c>
      <c r="L267" s="278"/>
      <c r="M267" s="262" t="s">
        <v>788</v>
      </c>
      <c r="O267">
        <v>1074</v>
      </c>
      <c r="P267">
        <v>1192</v>
      </c>
      <c r="Q267">
        <v>56.8</v>
      </c>
    </row>
    <row r="268" spans="1:17" x14ac:dyDescent="0.25">
      <c r="A268" s="624"/>
      <c r="B268" s="625" t="s">
        <v>794</v>
      </c>
      <c r="C268" s="257" t="s">
        <v>794</v>
      </c>
      <c r="D268" s="258" t="s">
        <v>437</v>
      </c>
      <c r="E268" s="258" t="e">
        <f>VLOOKUP(C268,#REF!,3,0)</f>
        <v>#REF!</v>
      </c>
      <c r="F268" s="263">
        <v>13632</v>
      </c>
      <c r="G268" s="260">
        <v>19110</v>
      </c>
      <c r="H268" s="261">
        <v>944</v>
      </c>
      <c r="I268" s="367" t="e">
        <f t="shared" si="61"/>
        <v>#REF!</v>
      </c>
      <c r="J268" s="367" t="e">
        <f t="shared" si="62"/>
        <v>#REF!</v>
      </c>
      <c r="K268" s="367" t="e">
        <f t="shared" si="63"/>
        <v>#REF!</v>
      </c>
      <c r="L268" s="278"/>
      <c r="M268" s="262" t="s">
        <v>795</v>
      </c>
      <c r="O268">
        <v>13632</v>
      </c>
      <c r="P268">
        <v>19110</v>
      </c>
      <c r="Q268">
        <v>944</v>
      </c>
    </row>
    <row r="269" spans="1:17" x14ac:dyDescent="0.25">
      <c r="A269" s="624"/>
      <c r="B269" s="626"/>
      <c r="C269" s="257" t="s">
        <v>796</v>
      </c>
      <c r="D269" s="258" t="s">
        <v>437</v>
      </c>
      <c r="E269" s="258" t="e">
        <f>VLOOKUP(C269,#REF!,3,0)</f>
        <v>#REF!</v>
      </c>
      <c r="F269" s="263">
        <v>41597</v>
      </c>
      <c r="G269" s="260">
        <v>58411</v>
      </c>
      <c r="H269" s="261">
        <v>2269</v>
      </c>
      <c r="I269" s="367" t="e">
        <f t="shared" si="61"/>
        <v>#REF!</v>
      </c>
      <c r="J269" s="367" t="e">
        <f t="shared" si="62"/>
        <v>#REF!</v>
      </c>
      <c r="K269" s="367" t="e">
        <f t="shared" si="63"/>
        <v>#REF!</v>
      </c>
      <c r="L269" s="278"/>
      <c r="M269" s="262" t="s">
        <v>795</v>
      </c>
      <c r="O269">
        <v>41597</v>
      </c>
      <c r="P269">
        <v>58411</v>
      </c>
      <c r="Q269">
        <v>2269</v>
      </c>
    </row>
    <row r="270" spans="1:17" x14ac:dyDescent="0.25">
      <c r="A270" s="624"/>
      <c r="B270" s="626"/>
      <c r="C270" s="257" t="s">
        <v>797</v>
      </c>
      <c r="D270" s="258" t="s">
        <v>437</v>
      </c>
      <c r="E270" s="258" t="e">
        <f>VLOOKUP(C270,#REF!,3,0)</f>
        <v>#REF!</v>
      </c>
      <c r="F270" s="263">
        <v>19389</v>
      </c>
      <c r="G270" s="260">
        <v>25332</v>
      </c>
      <c r="H270" s="261">
        <v>1178</v>
      </c>
      <c r="I270" s="367" t="e">
        <f t="shared" si="61"/>
        <v>#REF!</v>
      </c>
      <c r="J270" s="367" t="e">
        <f t="shared" si="62"/>
        <v>#REF!</v>
      </c>
      <c r="K270" s="367" t="e">
        <f t="shared" si="63"/>
        <v>#REF!</v>
      </c>
      <c r="L270" s="278"/>
      <c r="M270" s="262" t="s">
        <v>795</v>
      </c>
      <c r="O270">
        <v>19389</v>
      </c>
      <c r="P270">
        <v>25332</v>
      </c>
      <c r="Q270">
        <v>1178</v>
      </c>
    </row>
    <row r="271" spans="1:17" x14ac:dyDescent="0.25">
      <c r="A271" s="624"/>
      <c r="B271" s="625" t="s">
        <v>798</v>
      </c>
      <c r="C271" s="257" t="s">
        <v>799</v>
      </c>
      <c r="D271" s="258" t="s">
        <v>437</v>
      </c>
      <c r="E271" s="258" t="e">
        <f>VLOOKUP(C271,#REF!,3,0)</f>
        <v>#REF!</v>
      </c>
      <c r="F271" s="263">
        <v>9607</v>
      </c>
      <c r="G271" s="260">
        <v>8608</v>
      </c>
      <c r="H271" s="261">
        <v>645</v>
      </c>
      <c r="I271" s="367" t="e">
        <f t="shared" si="61"/>
        <v>#REF!</v>
      </c>
      <c r="J271" s="367" t="e">
        <f t="shared" si="62"/>
        <v>#REF!</v>
      </c>
      <c r="K271" s="367" t="e">
        <f t="shared" si="63"/>
        <v>#REF!</v>
      </c>
      <c r="L271" s="278"/>
      <c r="M271" s="262" t="s">
        <v>800</v>
      </c>
      <c r="O271">
        <v>9607</v>
      </c>
      <c r="P271">
        <v>8608</v>
      </c>
      <c r="Q271">
        <v>645</v>
      </c>
    </row>
    <row r="272" spans="1:17" x14ac:dyDescent="0.25">
      <c r="A272" s="624"/>
      <c r="B272" s="626"/>
      <c r="C272" s="257" t="s">
        <v>801</v>
      </c>
      <c r="D272" s="258" t="s">
        <v>461</v>
      </c>
      <c r="E272" s="258" t="e">
        <f>VLOOKUP(C272,#REF!,3,0)</f>
        <v>#REF!</v>
      </c>
      <c r="F272" s="263">
        <v>576</v>
      </c>
      <c r="G272" s="260">
        <v>516</v>
      </c>
      <c r="H272" s="261">
        <v>38.700000000000003</v>
      </c>
      <c r="I272" s="367" t="e">
        <f t="shared" si="61"/>
        <v>#REF!</v>
      </c>
      <c r="J272" s="367" t="e">
        <f t="shared" si="62"/>
        <v>#REF!</v>
      </c>
      <c r="K272" s="367" t="e">
        <f t="shared" si="63"/>
        <v>#REF!</v>
      </c>
      <c r="L272" s="278"/>
      <c r="M272" s="262" t="s">
        <v>800</v>
      </c>
      <c r="O272">
        <v>576</v>
      </c>
      <c r="P272">
        <v>516</v>
      </c>
      <c r="Q272">
        <v>38.700000000000003</v>
      </c>
    </row>
    <row r="273" spans="1:17" x14ac:dyDescent="0.25">
      <c r="A273" s="624"/>
      <c r="B273" s="626"/>
      <c r="C273" s="257" t="s">
        <v>802</v>
      </c>
      <c r="D273" s="258" t="s">
        <v>461</v>
      </c>
      <c r="E273" s="258" t="e">
        <f>VLOOKUP(C273,#REF!,3,0)</f>
        <v>#REF!</v>
      </c>
      <c r="F273" s="263">
        <v>1009</v>
      </c>
      <c r="G273" s="260">
        <v>904</v>
      </c>
      <c r="H273" s="261">
        <v>67.7</v>
      </c>
      <c r="I273" s="367" t="e">
        <f t="shared" si="61"/>
        <v>#REF!</v>
      </c>
      <c r="J273" s="367" t="e">
        <f t="shared" si="62"/>
        <v>#REF!</v>
      </c>
      <c r="K273" s="367" t="e">
        <f t="shared" si="63"/>
        <v>#REF!</v>
      </c>
      <c r="L273" s="278"/>
      <c r="M273" s="262" t="s">
        <v>800</v>
      </c>
      <c r="O273">
        <v>1009</v>
      </c>
      <c r="P273">
        <v>904</v>
      </c>
      <c r="Q273">
        <v>67.7</v>
      </c>
    </row>
    <row r="274" spans="1:17" x14ac:dyDescent="0.25">
      <c r="A274" s="624"/>
      <c r="B274" s="626"/>
      <c r="C274" s="257" t="s">
        <v>803</v>
      </c>
      <c r="D274" s="258" t="s">
        <v>461</v>
      </c>
      <c r="E274" s="258" t="e">
        <f>VLOOKUP(C274,#REF!,3,0)</f>
        <v>#REF!</v>
      </c>
      <c r="F274" s="263">
        <v>1681</v>
      </c>
      <c r="G274" s="260">
        <v>1506</v>
      </c>
      <c r="H274" s="261">
        <v>113</v>
      </c>
      <c r="I274" s="367" t="e">
        <f t="shared" si="61"/>
        <v>#REF!</v>
      </c>
      <c r="J274" s="367" t="e">
        <f t="shared" si="62"/>
        <v>#REF!</v>
      </c>
      <c r="K274" s="367" t="e">
        <f t="shared" si="63"/>
        <v>#REF!</v>
      </c>
      <c r="L274" s="278"/>
      <c r="M274" s="262" t="s">
        <v>800</v>
      </c>
      <c r="O274">
        <v>1681</v>
      </c>
      <c r="P274">
        <v>1506</v>
      </c>
      <c r="Q274">
        <v>113</v>
      </c>
    </row>
    <row r="275" spans="1:17" x14ac:dyDescent="0.25">
      <c r="A275" s="624"/>
      <c r="B275" s="626"/>
      <c r="C275" s="257" t="s">
        <v>804</v>
      </c>
      <c r="D275" s="258" t="s">
        <v>437</v>
      </c>
      <c r="E275" s="258" t="e">
        <f>VLOOKUP(C275,#REF!,3,0)</f>
        <v>#REF!</v>
      </c>
      <c r="F275" s="263">
        <v>29996</v>
      </c>
      <c r="G275" s="260">
        <v>35813</v>
      </c>
      <c r="H275" s="261">
        <v>1718</v>
      </c>
      <c r="I275" s="367" t="e">
        <f t="shared" si="61"/>
        <v>#REF!</v>
      </c>
      <c r="J275" s="367" t="e">
        <f t="shared" si="62"/>
        <v>#REF!</v>
      </c>
      <c r="K275" s="367" t="e">
        <f t="shared" si="63"/>
        <v>#REF!</v>
      </c>
      <c r="L275" s="278"/>
      <c r="M275" s="262" t="s">
        <v>805</v>
      </c>
      <c r="O275">
        <v>29996</v>
      </c>
      <c r="P275">
        <v>35813</v>
      </c>
      <c r="Q275">
        <v>1718</v>
      </c>
    </row>
    <row r="276" spans="1:17" x14ac:dyDescent="0.25">
      <c r="A276" s="624"/>
      <c r="B276" s="626"/>
      <c r="C276" s="257" t="s">
        <v>806</v>
      </c>
      <c r="D276" s="258" t="s">
        <v>437</v>
      </c>
      <c r="E276" s="258" t="e">
        <f>VLOOKUP(C276,#REF!,3,0)</f>
        <v>#REF!</v>
      </c>
      <c r="F276" s="263">
        <v>28279</v>
      </c>
      <c r="G276" s="260">
        <v>31246</v>
      </c>
      <c r="H276" s="261">
        <v>1605</v>
      </c>
      <c r="I276" s="367" t="e">
        <f t="shared" si="61"/>
        <v>#REF!</v>
      </c>
      <c r="J276" s="367" t="e">
        <f t="shared" si="62"/>
        <v>#REF!</v>
      </c>
      <c r="K276" s="367" t="e">
        <f t="shared" si="63"/>
        <v>#REF!</v>
      </c>
      <c r="L276" s="278"/>
      <c r="M276" s="262" t="s">
        <v>805</v>
      </c>
      <c r="O276">
        <v>28279</v>
      </c>
      <c r="P276">
        <v>31246</v>
      </c>
      <c r="Q276">
        <v>1605</v>
      </c>
    </row>
    <row r="277" spans="1:17" x14ac:dyDescent="0.25">
      <c r="A277" s="624"/>
      <c r="B277" s="626"/>
      <c r="C277" s="257" t="s">
        <v>807</v>
      </c>
      <c r="D277" s="258" t="s">
        <v>437</v>
      </c>
      <c r="E277" s="258" t="e">
        <f>VLOOKUP(C277,#REF!,3,0)</f>
        <v>#REF!</v>
      </c>
      <c r="F277" s="263">
        <v>17479</v>
      </c>
      <c r="G277" s="260">
        <v>18025</v>
      </c>
      <c r="H277" s="261">
        <v>1059</v>
      </c>
      <c r="I277" s="367" t="e">
        <f t="shared" si="61"/>
        <v>#REF!</v>
      </c>
      <c r="J277" s="367" t="e">
        <f t="shared" si="62"/>
        <v>#REF!</v>
      </c>
      <c r="K277" s="367" t="e">
        <f t="shared" si="63"/>
        <v>#REF!</v>
      </c>
      <c r="L277" s="278"/>
      <c r="M277" s="262" t="s">
        <v>808</v>
      </c>
      <c r="O277">
        <v>17479</v>
      </c>
      <c r="P277">
        <v>18025</v>
      </c>
      <c r="Q277">
        <v>1059</v>
      </c>
    </row>
    <row r="278" spans="1:17" x14ac:dyDescent="0.25">
      <c r="A278" s="624"/>
      <c r="B278" s="626"/>
      <c r="C278" s="257" t="s">
        <v>809</v>
      </c>
      <c r="D278" s="258" t="s">
        <v>437</v>
      </c>
      <c r="E278" s="258" t="e">
        <f>VLOOKUP(C278,#REF!,3,0)</f>
        <v>#REF!</v>
      </c>
      <c r="F278" s="263">
        <v>15016</v>
      </c>
      <c r="G278" s="260">
        <v>8471</v>
      </c>
      <c r="H278" s="261">
        <v>899</v>
      </c>
      <c r="I278" s="367" t="e">
        <f t="shared" si="61"/>
        <v>#REF!</v>
      </c>
      <c r="J278" s="367" t="e">
        <f t="shared" si="62"/>
        <v>#REF!</v>
      </c>
      <c r="K278" s="367" t="e">
        <f t="shared" si="63"/>
        <v>#REF!</v>
      </c>
      <c r="L278" s="278"/>
      <c r="M278" s="262" t="s">
        <v>810</v>
      </c>
      <c r="O278">
        <v>15016</v>
      </c>
      <c r="P278">
        <v>8471</v>
      </c>
      <c r="Q278">
        <v>899</v>
      </c>
    </row>
    <row r="279" spans="1:17" x14ac:dyDescent="0.25">
      <c r="A279" s="624"/>
      <c r="B279" s="626"/>
      <c r="C279" s="257" t="s">
        <v>811</v>
      </c>
      <c r="D279" s="258" t="s">
        <v>461</v>
      </c>
      <c r="E279" s="258" t="e">
        <f>VLOOKUP(C279,#REF!,3,0)</f>
        <v>#REF!</v>
      </c>
      <c r="F279" s="263">
        <v>344</v>
      </c>
      <c r="G279" s="260">
        <v>283</v>
      </c>
      <c r="H279" s="261">
        <v>18.7</v>
      </c>
      <c r="I279" s="367" t="e">
        <f t="shared" si="61"/>
        <v>#REF!</v>
      </c>
      <c r="J279" s="367" t="e">
        <f t="shared" si="62"/>
        <v>#REF!</v>
      </c>
      <c r="K279" s="367" t="e">
        <f t="shared" si="63"/>
        <v>#REF!</v>
      </c>
      <c r="L279" s="278"/>
      <c r="M279" s="262" t="s">
        <v>810</v>
      </c>
      <c r="O279">
        <v>344</v>
      </c>
      <c r="P279">
        <v>283</v>
      </c>
      <c r="Q279">
        <v>18.7</v>
      </c>
    </row>
    <row r="280" spans="1:17" x14ac:dyDescent="0.25">
      <c r="A280" s="624"/>
      <c r="B280" s="626"/>
      <c r="C280" s="257" t="s">
        <v>812</v>
      </c>
      <c r="D280" s="258" t="s">
        <v>461</v>
      </c>
      <c r="E280" s="258" t="e">
        <f>VLOOKUP(C280,#REF!,3,0)</f>
        <v>#REF!</v>
      </c>
      <c r="F280" s="263">
        <v>390</v>
      </c>
      <c r="G280" s="260">
        <v>323</v>
      </c>
      <c r="H280" s="261">
        <v>21.3</v>
      </c>
      <c r="I280" s="367" t="e">
        <f t="shared" si="61"/>
        <v>#REF!</v>
      </c>
      <c r="J280" s="367" t="e">
        <f t="shared" si="62"/>
        <v>#REF!</v>
      </c>
      <c r="K280" s="367" t="e">
        <f t="shared" si="63"/>
        <v>#REF!</v>
      </c>
      <c r="L280" s="278"/>
      <c r="M280" s="262" t="s">
        <v>810</v>
      </c>
      <c r="O280">
        <v>390</v>
      </c>
      <c r="P280">
        <v>323</v>
      </c>
      <c r="Q280">
        <v>21.3</v>
      </c>
    </row>
    <row r="281" spans="1:17" x14ac:dyDescent="0.25">
      <c r="A281" s="624"/>
      <c r="B281" s="626"/>
      <c r="C281" s="257" t="s">
        <v>813</v>
      </c>
      <c r="D281" s="258" t="s">
        <v>461</v>
      </c>
      <c r="E281" s="258" t="e">
        <f>VLOOKUP(C281,#REF!,3,0)</f>
        <v>#REF!</v>
      </c>
      <c r="F281" s="263">
        <v>557</v>
      </c>
      <c r="G281" s="260">
        <v>453</v>
      </c>
      <c r="H281" s="261">
        <v>30.5</v>
      </c>
      <c r="I281" s="367" t="e">
        <f t="shared" si="61"/>
        <v>#REF!</v>
      </c>
      <c r="J281" s="367" t="e">
        <f t="shared" si="62"/>
        <v>#REF!</v>
      </c>
      <c r="K281" s="367" t="e">
        <f t="shared" si="63"/>
        <v>#REF!</v>
      </c>
      <c r="L281" s="278"/>
      <c r="M281" s="262" t="s">
        <v>810</v>
      </c>
      <c r="O281">
        <v>557</v>
      </c>
      <c r="P281">
        <v>453</v>
      </c>
      <c r="Q281">
        <v>30.5</v>
      </c>
    </row>
    <row r="282" spans="1:17" x14ac:dyDescent="0.25">
      <c r="A282" s="624"/>
      <c r="B282" s="626"/>
      <c r="C282" s="257" t="s">
        <v>814</v>
      </c>
      <c r="D282" s="258" t="s">
        <v>437</v>
      </c>
      <c r="E282" s="258" t="e">
        <f>VLOOKUP(C282,#REF!,3,0)</f>
        <v>#REF!</v>
      </c>
      <c r="F282" s="263">
        <v>14422</v>
      </c>
      <c r="G282" s="260">
        <v>17997</v>
      </c>
      <c r="H282" s="261">
        <v>751</v>
      </c>
      <c r="I282" s="367" t="e">
        <f t="shared" si="61"/>
        <v>#REF!</v>
      </c>
      <c r="J282" s="367" t="e">
        <f t="shared" si="62"/>
        <v>#REF!</v>
      </c>
      <c r="K282" s="367" t="e">
        <f t="shared" si="63"/>
        <v>#REF!</v>
      </c>
      <c r="L282" s="278"/>
      <c r="M282" s="262" t="s">
        <v>815</v>
      </c>
      <c r="O282">
        <v>14422</v>
      </c>
      <c r="P282">
        <v>17997</v>
      </c>
      <c r="Q282">
        <v>751</v>
      </c>
    </row>
    <row r="283" spans="1:17" x14ac:dyDescent="0.25">
      <c r="A283" s="624"/>
      <c r="B283" s="626"/>
      <c r="C283" s="257" t="s">
        <v>816</v>
      </c>
      <c r="D283" s="258" t="s">
        <v>437</v>
      </c>
      <c r="E283" s="258" t="e">
        <f>VLOOKUP(C283,#REF!,3,0)</f>
        <v>#REF!</v>
      </c>
      <c r="F283" s="263">
        <v>12717</v>
      </c>
      <c r="G283" s="260">
        <v>10720</v>
      </c>
      <c r="H283" s="261">
        <v>696</v>
      </c>
      <c r="I283" s="367" t="e">
        <f t="shared" si="61"/>
        <v>#REF!</v>
      </c>
      <c r="J283" s="367" t="e">
        <f t="shared" si="62"/>
        <v>#REF!</v>
      </c>
      <c r="K283" s="367" t="e">
        <f t="shared" si="63"/>
        <v>#REF!</v>
      </c>
      <c r="L283" s="278"/>
      <c r="M283" s="262" t="s">
        <v>817</v>
      </c>
      <c r="O283">
        <v>12717</v>
      </c>
      <c r="P283">
        <v>10720</v>
      </c>
      <c r="Q283">
        <v>696</v>
      </c>
    </row>
    <row r="284" spans="1:17" x14ac:dyDescent="0.25">
      <c r="A284" s="624"/>
      <c r="B284" s="626"/>
      <c r="C284" s="257" t="s">
        <v>818</v>
      </c>
      <c r="D284" s="258" t="s">
        <v>437</v>
      </c>
      <c r="E284" s="258" t="e">
        <f>VLOOKUP(C284,#REF!,3,0)</f>
        <v>#REF!</v>
      </c>
      <c r="F284" s="263">
        <v>15879</v>
      </c>
      <c r="G284" s="260">
        <v>20491</v>
      </c>
      <c r="H284" s="261">
        <v>813</v>
      </c>
      <c r="I284" s="367" t="e">
        <f t="shared" si="61"/>
        <v>#REF!</v>
      </c>
      <c r="J284" s="367" t="e">
        <f t="shared" si="62"/>
        <v>#REF!</v>
      </c>
      <c r="K284" s="367" t="e">
        <f t="shared" si="63"/>
        <v>#REF!</v>
      </c>
      <c r="L284" s="278"/>
      <c r="M284" s="262" t="s">
        <v>817</v>
      </c>
      <c r="O284">
        <v>15879</v>
      </c>
      <c r="P284">
        <v>20491</v>
      </c>
      <c r="Q284">
        <v>813</v>
      </c>
    </row>
    <row r="285" spans="1:17" x14ac:dyDescent="0.25">
      <c r="A285" s="624"/>
      <c r="B285" s="626"/>
      <c r="C285" s="257" t="s">
        <v>819</v>
      </c>
      <c r="D285" s="258" t="s">
        <v>437</v>
      </c>
      <c r="E285" s="258" t="e">
        <f>VLOOKUP(C285,#REF!,3,0)</f>
        <v>#REF!</v>
      </c>
      <c r="F285" s="263">
        <v>63691</v>
      </c>
      <c r="G285" s="260">
        <v>69363</v>
      </c>
      <c r="H285" s="261">
        <v>3680</v>
      </c>
      <c r="I285" s="367" t="e">
        <f t="shared" si="61"/>
        <v>#REF!</v>
      </c>
      <c r="J285" s="367" t="e">
        <f t="shared" si="62"/>
        <v>#REF!</v>
      </c>
      <c r="K285" s="367" t="e">
        <f t="shared" si="63"/>
        <v>#REF!</v>
      </c>
      <c r="L285" s="278"/>
      <c r="M285" s="262" t="s">
        <v>820</v>
      </c>
      <c r="O285">
        <v>63691</v>
      </c>
      <c r="P285">
        <v>69363</v>
      </c>
      <c r="Q285">
        <v>3680</v>
      </c>
    </row>
    <row r="286" spans="1:17" x14ac:dyDescent="0.25">
      <c r="A286" s="624"/>
      <c r="B286" s="626"/>
      <c r="C286" s="257" t="s">
        <v>821</v>
      </c>
      <c r="D286" s="258" t="s">
        <v>437</v>
      </c>
      <c r="E286" s="258" t="e">
        <f>VLOOKUP(C286,#REF!,3,0)</f>
        <v>#REF!</v>
      </c>
      <c r="F286" s="263">
        <v>26790</v>
      </c>
      <c r="G286" s="260">
        <v>23083</v>
      </c>
      <c r="H286" s="261">
        <v>1777</v>
      </c>
      <c r="I286" s="367" t="e">
        <f t="shared" si="61"/>
        <v>#REF!</v>
      </c>
      <c r="J286" s="367" t="e">
        <f t="shared" si="62"/>
        <v>#REF!</v>
      </c>
      <c r="K286" s="367" t="e">
        <f t="shared" si="63"/>
        <v>#REF!</v>
      </c>
      <c r="L286" s="278"/>
      <c r="M286" s="262" t="s">
        <v>820</v>
      </c>
      <c r="O286">
        <v>26790</v>
      </c>
      <c r="P286">
        <v>23083</v>
      </c>
      <c r="Q286">
        <v>1777</v>
      </c>
    </row>
    <row r="287" spans="1:17" x14ac:dyDescent="0.25">
      <c r="A287" s="624"/>
      <c r="B287" s="626"/>
      <c r="C287" s="257" t="s">
        <v>822</v>
      </c>
      <c r="D287" s="258" t="s">
        <v>461</v>
      </c>
      <c r="E287" s="258" t="e">
        <f>VLOOKUP(C287,#REF!,3,0)</f>
        <v>#REF!</v>
      </c>
      <c r="F287" s="263">
        <v>2624</v>
      </c>
      <c r="G287" s="260">
        <v>4219</v>
      </c>
      <c r="H287" s="261">
        <v>135</v>
      </c>
      <c r="I287" s="367" t="e">
        <f t="shared" si="61"/>
        <v>#REF!</v>
      </c>
      <c r="J287" s="367" t="e">
        <f t="shared" si="62"/>
        <v>#REF!</v>
      </c>
      <c r="K287" s="367" t="e">
        <f t="shared" si="63"/>
        <v>#REF!</v>
      </c>
      <c r="L287" s="278"/>
      <c r="M287" s="262" t="s">
        <v>823</v>
      </c>
      <c r="O287">
        <v>2624</v>
      </c>
      <c r="P287">
        <v>4219</v>
      </c>
      <c r="Q287">
        <v>135</v>
      </c>
    </row>
    <row r="288" spans="1:17" x14ac:dyDescent="0.25">
      <c r="A288" s="624"/>
      <c r="B288" s="626"/>
      <c r="C288" s="257" t="s">
        <v>824</v>
      </c>
      <c r="D288" s="258" t="s">
        <v>461</v>
      </c>
      <c r="E288" s="258" t="e">
        <f>VLOOKUP(C288,#REF!,3,0)</f>
        <v>#REF!</v>
      </c>
      <c r="F288" s="263">
        <v>3327</v>
      </c>
      <c r="G288" s="260">
        <v>5349</v>
      </c>
      <c r="H288" s="261">
        <v>171</v>
      </c>
      <c r="I288" s="367" t="e">
        <f t="shared" si="61"/>
        <v>#REF!</v>
      </c>
      <c r="J288" s="367" t="e">
        <f t="shared" si="62"/>
        <v>#REF!</v>
      </c>
      <c r="K288" s="367" t="e">
        <f t="shared" si="63"/>
        <v>#REF!</v>
      </c>
      <c r="L288" s="278"/>
      <c r="M288" s="262" t="s">
        <v>823</v>
      </c>
      <c r="O288">
        <v>3327</v>
      </c>
      <c r="P288">
        <v>5349</v>
      </c>
      <c r="Q288">
        <v>171</v>
      </c>
    </row>
    <row r="289" spans="1:17" x14ac:dyDescent="0.25">
      <c r="A289" s="624"/>
      <c r="B289" s="626"/>
      <c r="C289" s="257" t="s">
        <v>825</v>
      </c>
      <c r="D289" s="258" t="s">
        <v>461</v>
      </c>
      <c r="E289" s="258" t="e">
        <f>VLOOKUP(C289,#REF!,3,0)</f>
        <v>#REF!</v>
      </c>
      <c r="F289" s="263">
        <v>3795</v>
      </c>
      <c r="G289" s="260">
        <v>6103</v>
      </c>
      <c r="H289" s="261">
        <v>195</v>
      </c>
      <c r="I289" s="367" t="e">
        <f t="shared" si="61"/>
        <v>#REF!</v>
      </c>
      <c r="J289" s="367" t="e">
        <f t="shared" si="62"/>
        <v>#REF!</v>
      </c>
      <c r="K289" s="367" t="e">
        <f t="shared" si="63"/>
        <v>#REF!</v>
      </c>
      <c r="L289" s="278"/>
      <c r="M289" s="262" t="s">
        <v>823</v>
      </c>
      <c r="O289">
        <v>3795</v>
      </c>
      <c r="P289">
        <v>6103</v>
      </c>
      <c r="Q289">
        <v>195</v>
      </c>
    </row>
    <row r="290" spans="1:17" x14ac:dyDescent="0.25">
      <c r="A290" s="624"/>
      <c r="B290" s="625" t="s">
        <v>826</v>
      </c>
      <c r="C290" s="257" t="s">
        <v>826</v>
      </c>
      <c r="D290" s="258" t="s">
        <v>437</v>
      </c>
      <c r="E290" s="258" t="e">
        <f>VLOOKUP(C290,#REF!,3,0)</f>
        <v>#REF!</v>
      </c>
      <c r="F290" s="263">
        <v>9392</v>
      </c>
      <c r="G290" s="260">
        <v>13091</v>
      </c>
      <c r="H290" s="261">
        <v>549</v>
      </c>
      <c r="I290" s="367" t="e">
        <f t="shared" si="61"/>
        <v>#REF!</v>
      </c>
      <c r="J290" s="367" t="e">
        <f t="shared" si="62"/>
        <v>#REF!</v>
      </c>
      <c r="K290" s="367" t="e">
        <f t="shared" si="63"/>
        <v>#REF!</v>
      </c>
      <c r="L290" s="278"/>
      <c r="M290" s="262" t="s">
        <v>827</v>
      </c>
      <c r="O290">
        <v>9392</v>
      </c>
      <c r="P290">
        <v>13091</v>
      </c>
      <c r="Q290">
        <v>549</v>
      </c>
    </row>
    <row r="291" spans="1:17" x14ac:dyDescent="0.25">
      <c r="A291" s="628"/>
      <c r="B291" s="629"/>
      <c r="C291" s="265" t="s">
        <v>828</v>
      </c>
      <c r="D291" s="266" t="s">
        <v>437</v>
      </c>
      <c r="E291" s="258" t="e">
        <f>VLOOKUP(C291,#REF!,3,0)</f>
        <v>#REF!</v>
      </c>
      <c r="F291" s="267">
        <v>9704</v>
      </c>
      <c r="G291" s="268">
        <v>13181</v>
      </c>
      <c r="H291" s="269">
        <v>583</v>
      </c>
      <c r="I291" s="367" t="e">
        <f t="shared" si="61"/>
        <v>#REF!</v>
      </c>
      <c r="J291" s="367" t="e">
        <f t="shared" si="62"/>
        <v>#REF!</v>
      </c>
      <c r="K291" s="367" t="e">
        <f t="shared" si="63"/>
        <v>#REF!</v>
      </c>
      <c r="L291" s="278"/>
      <c r="M291" s="270" t="s">
        <v>827</v>
      </c>
      <c r="O291">
        <v>9704</v>
      </c>
      <c r="P291">
        <v>13181</v>
      </c>
      <c r="Q291">
        <v>583</v>
      </c>
    </row>
    <row r="292" spans="1:17" x14ac:dyDescent="0.25">
      <c r="A292" s="271" t="s">
        <v>831</v>
      </c>
      <c r="I292" s="367" t="e">
        <f>SUM(I7:I291)</f>
        <v>#REF!</v>
      </c>
      <c r="J292" s="367" t="e">
        <f t="shared" ref="J292" si="64">SUM(J7:J291)</f>
        <v>#REF!</v>
      </c>
      <c r="K292" s="367" t="e">
        <f>SUM($K$7:$K$291)/1000</f>
        <v>#REF!</v>
      </c>
      <c r="L292" s="279" t="e">
        <f>(($K$292)*('Green+Social Interface'!$Z$62*'Green+Social Interface'!$Z$65))</f>
        <v>#REF!</v>
      </c>
    </row>
    <row r="293" spans="1:17" ht="26.25" x14ac:dyDescent="0.25">
      <c r="A293" s="271" t="s">
        <v>832</v>
      </c>
      <c r="I293" s="367" t="s">
        <v>1064</v>
      </c>
      <c r="J293" s="367" t="s">
        <v>1065</v>
      </c>
      <c r="K293" s="367" t="s">
        <v>1066</v>
      </c>
    </row>
    <row r="294" spans="1:17" x14ac:dyDescent="0.25">
      <c r="C294" s="280" t="s">
        <v>254</v>
      </c>
    </row>
    <row r="295" spans="1:17" ht="26.25" x14ac:dyDescent="0.25">
      <c r="C295" s="272" t="s">
        <v>1067</v>
      </c>
      <c r="E295" s="282" t="e">
        <f>('Green Infrastructure'!$L$21/(K292))</f>
        <v>#REF!</v>
      </c>
    </row>
    <row r="296" spans="1:17" x14ac:dyDescent="0.25">
      <c r="C296" s="272" t="s">
        <v>1068</v>
      </c>
      <c r="E296" s="281" t="e">
        <f>(K292)/'Green Infrastructure'!$K$21</f>
        <v>#REF!</v>
      </c>
    </row>
    <row r="297" spans="1:17" ht="26.25" x14ac:dyDescent="0.25">
      <c r="C297" s="272" t="s">
        <v>1069</v>
      </c>
      <c r="E297" s="282" t="e">
        <f>(('Green Infrastructure'!$L$22)/EPiC!$L$292)</f>
        <v>#REF!</v>
      </c>
    </row>
    <row r="298" spans="1:17" x14ac:dyDescent="0.25">
      <c r="C298" s="272" t="s">
        <v>1070</v>
      </c>
      <c r="E298" s="281" t="e">
        <f>L292/('Green Infrastructure'!$K$23)</f>
        <v>#REF!</v>
      </c>
    </row>
    <row r="300" spans="1:17" x14ac:dyDescent="0.25">
      <c r="C300" s="272" t="s">
        <v>1071</v>
      </c>
      <c r="E300" s="370" t="e">
        <f>K292/'Energy and carbon'!K58</f>
        <v>#REF!</v>
      </c>
    </row>
    <row r="301" spans="1:17" x14ac:dyDescent="0.25">
      <c r="C301" s="272" t="s">
        <v>1072</v>
      </c>
      <c r="E301" s="371" t="e">
        <f>L292/'Energy and carbon'!K60</f>
        <v>#REF!</v>
      </c>
    </row>
  </sheetData>
  <sheetProtection algorithmName="SHA-512" hashValue="899XLdN+c58YMFLN9Veqz+3dcj5YVs/rtf0jjVb3FyIfQ0/kNkFxDd9DGjKmkXx7nmWnLazXwXGZ0hDyhUMxOA==" saltValue="C2CGHwC9po5RrSqEeKipsA==" spinCount="100000" sheet="1" selectLockedCells="1" selectUnlockedCells="1"/>
  <mergeCells count="51">
    <mergeCell ref="I1:I6"/>
    <mergeCell ref="J1:J6"/>
    <mergeCell ref="K1:K6"/>
    <mergeCell ref="L1:L6"/>
    <mergeCell ref="A254:A261"/>
    <mergeCell ref="B255:B258"/>
    <mergeCell ref="B260:B261"/>
    <mergeCell ref="B178:B179"/>
    <mergeCell ref="A180:A253"/>
    <mergeCell ref="B180:B189"/>
    <mergeCell ref="B190:B197"/>
    <mergeCell ref="B198:B201"/>
    <mergeCell ref="B202:B232"/>
    <mergeCell ref="B233:B240"/>
    <mergeCell ref="B241:B245"/>
    <mergeCell ref="B246:B253"/>
    <mergeCell ref="A262:A291"/>
    <mergeCell ref="B262:B267"/>
    <mergeCell ref="B268:B270"/>
    <mergeCell ref="B271:B289"/>
    <mergeCell ref="B290:B291"/>
    <mergeCell ref="A97:A157"/>
    <mergeCell ref="B97:B117"/>
    <mergeCell ref="B118:B127"/>
    <mergeCell ref="B128:B138"/>
    <mergeCell ref="B139:B157"/>
    <mergeCell ref="A158:A179"/>
    <mergeCell ref="B159:B166"/>
    <mergeCell ref="B168:B171"/>
    <mergeCell ref="B172:B175"/>
    <mergeCell ref="B176:B177"/>
    <mergeCell ref="B44:B46"/>
    <mergeCell ref="A48:A80"/>
    <mergeCell ref="B48:B58"/>
    <mergeCell ref="B59:B63"/>
    <mergeCell ref="B64:B80"/>
    <mergeCell ref="A7:A47"/>
    <mergeCell ref="B7:B10"/>
    <mergeCell ref="B11:B12"/>
    <mergeCell ref="B13:B31"/>
    <mergeCell ref="B32:B43"/>
    <mergeCell ref="A81:A96"/>
    <mergeCell ref="B81:B83"/>
    <mergeCell ref="B84:B90"/>
    <mergeCell ref="B91:B93"/>
    <mergeCell ref="B94:B96"/>
    <mergeCell ref="A1:B4"/>
    <mergeCell ref="D1:D6"/>
    <mergeCell ref="F1:F6"/>
    <mergeCell ref="G1:G6"/>
    <mergeCell ref="H1:H6"/>
  </mergeCells>
  <hyperlinks>
    <hyperlink ref="C5" r:id="rId1" xr:uid="{00000000-0004-0000-0B00-000000000000}"/>
    <hyperlink ref="C4" r:id="rId2" xr:uid="{00000000-0004-0000-0B00-000001000000}"/>
    <hyperlink ref="C3" r:id="rId3" xr:uid="{00000000-0004-0000-0B00-000002000000}"/>
    <hyperlink ref="M160" r:id="rId4" xr:uid="{00000000-0004-0000-0B00-000003000000}"/>
    <hyperlink ref="M107" r:id="rId5" xr:uid="{00000000-0004-0000-0B00-000004000000}"/>
    <hyperlink ref="M44" r:id="rId6" xr:uid="{00000000-0004-0000-0B00-000005000000}"/>
    <hyperlink ref="M45" r:id="rId7" xr:uid="{00000000-0004-0000-0B00-000006000000}"/>
    <hyperlink ref="M46" r:id="rId8" xr:uid="{00000000-0004-0000-0B00-000007000000}"/>
    <hyperlink ref="M47" r:id="rId9" xr:uid="{00000000-0004-0000-0B00-000008000000}"/>
    <hyperlink ref="M48" r:id="rId10" xr:uid="{00000000-0004-0000-0B00-000009000000}"/>
    <hyperlink ref="M49" r:id="rId11" xr:uid="{00000000-0004-0000-0B00-00000A000000}"/>
    <hyperlink ref="M50" r:id="rId12" xr:uid="{00000000-0004-0000-0B00-00000B000000}"/>
    <hyperlink ref="M51" r:id="rId13" xr:uid="{00000000-0004-0000-0B00-00000C000000}"/>
    <hyperlink ref="M52" r:id="rId14" xr:uid="{00000000-0004-0000-0B00-00000D000000}"/>
    <hyperlink ref="M53" r:id="rId15" xr:uid="{00000000-0004-0000-0B00-00000E000000}"/>
    <hyperlink ref="M54" r:id="rId16" xr:uid="{00000000-0004-0000-0B00-00000F000000}"/>
    <hyperlink ref="M55" r:id="rId17" xr:uid="{00000000-0004-0000-0B00-000010000000}"/>
    <hyperlink ref="M56" r:id="rId18" xr:uid="{00000000-0004-0000-0B00-000011000000}"/>
    <hyperlink ref="M57" r:id="rId19" xr:uid="{00000000-0004-0000-0B00-000012000000}"/>
    <hyperlink ref="M58" r:id="rId20" xr:uid="{00000000-0004-0000-0B00-000013000000}"/>
    <hyperlink ref="M59" r:id="rId21" xr:uid="{00000000-0004-0000-0B00-000014000000}"/>
    <hyperlink ref="M60" r:id="rId22" xr:uid="{00000000-0004-0000-0B00-000015000000}"/>
    <hyperlink ref="M61" r:id="rId23" xr:uid="{00000000-0004-0000-0B00-000016000000}"/>
    <hyperlink ref="M62" r:id="rId24" xr:uid="{00000000-0004-0000-0B00-000017000000}"/>
    <hyperlink ref="M65" r:id="rId25" xr:uid="{00000000-0004-0000-0B00-000018000000}"/>
    <hyperlink ref="M63" r:id="rId26" xr:uid="{00000000-0004-0000-0B00-000019000000}"/>
    <hyperlink ref="M64" r:id="rId27" xr:uid="{00000000-0004-0000-0B00-00001A000000}"/>
    <hyperlink ref="M66" r:id="rId28" xr:uid="{00000000-0004-0000-0B00-00001B000000}"/>
    <hyperlink ref="M67" r:id="rId29" xr:uid="{00000000-0004-0000-0B00-00001C000000}"/>
    <hyperlink ref="M68" r:id="rId30" xr:uid="{00000000-0004-0000-0B00-00001D000000}"/>
    <hyperlink ref="M69" r:id="rId31" xr:uid="{00000000-0004-0000-0B00-00001E000000}"/>
    <hyperlink ref="M70" r:id="rId32" xr:uid="{00000000-0004-0000-0B00-00001F000000}"/>
    <hyperlink ref="M71" r:id="rId33" xr:uid="{00000000-0004-0000-0B00-000020000000}"/>
    <hyperlink ref="M72" r:id="rId34" xr:uid="{00000000-0004-0000-0B00-000021000000}"/>
    <hyperlink ref="M73" r:id="rId35" xr:uid="{00000000-0004-0000-0B00-000022000000}"/>
    <hyperlink ref="M74" r:id="rId36" xr:uid="{00000000-0004-0000-0B00-000023000000}"/>
    <hyperlink ref="M75" r:id="rId37" xr:uid="{00000000-0004-0000-0B00-000024000000}"/>
    <hyperlink ref="M76" r:id="rId38" xr:uid="{00000000-0004-0000-0B00-000025000000}"/>
    <hyperlink ref="M77" r:id="rId39" xr:uid="{00000000-0004-0000-0B00-000026000000}"/>
    <hyperlink ref="M78" r:id="rId40" xr:uid="{00000000-0004-0000-0B00-000027000000}"/>
    <hyperlink ref="M79" r:id="rId41" xr:uid="{00000000-0004-0000-0B00-000028000000}"/>
    <hyperlink ref="M80" r:id="rId42" xr:uid="{00000000-0004-0000-0B00-000029000000}"/>
    <hyperlink ref="M81" r:id="rId43" xr:uid="{00000000-0004-0000-0B00-00002A000000}"/>
    <hyperlink ref="M82" r:id="rId44" xr:uid="{00000000-0004-0000-0B00-00002B000000}"/>
    <hyperlink ref="M83" r:id="rId45" xr:uid="{00000000-0004-0000-0B00-00002C000000}"/>
    <hyperlink ref="M84" r:id="rId46" xr:uid="{00000000-0004-0000-0B00-00002D000000}"/>
    <hyperlink ref="M85" r:id="rId47" xr:uid="{00000000-0004-0000-0B00-00002E000000}"/>
    <hyperlink ref="M86" r:id="rId48" xr:uid="{00000000-0004-0000-0B00-00002F000000}"/>
    <hyperlink ref="M87" r:id="rId49" xr:uid="{00000000-0004-0000-0B00-000030000000}"/>
    <hyperlink ref="M88" r:id="rId50" xr:uid="{00000000-0004-0000-0B00-000031000000}"/>
    <hyperlink ref="M89" r:id="rId51" xr:uid="{00000000-0004-0000-0B00-000032000000}"/>
    <hyperlink ref="M90" r:id="rId52" xr:uid="{00000000-0004-0000-0B00-000033000000}"/>
    <hyperlink ref="M92" r:id="rId53" xr:uid="{00000000-0004-0000-0B00-000034000000}"/>
    <hyperlink ref="M93" r:id="rId54" xr:uid="{00000000-0004-0000-0B00-000035000000}"/>
    <hyperlink ref="M91" r:id="rId55" xr:uid="{00000000-0004-0000-0B00-000036000000}"/>
    <hyperlink ref="M94" r:id="rId56" xr:uid="{00000000-0004-0000-0B00-000037000000}"/>
    <hyperlink ref="M95" r:id="rId57" xr:uid="{00000000-0004-0000-0B00-000038000000}"/>
    <hyperlink ref="M96" r:id="rId58" xr:uid="{00000000-0004-0000-0B00-000039000000}"/>
    <hyperlink ref="M106" r:id="rId59" xr:uid="{00000000-0004-0000-0B00-00003A000000}"/>
    <hyperlink ref="M97" r:id="rId60" xr:uid="{00000000-0004-0000-0B00-00003B000000}"/>
    <hyperlink ref="M98" r:id="rId61" xr:uid="{00000000-0004-0000-0B00-00003C000000}"/>
    <hyperlink ref="M99" r:id="rId62" xr:uid="{00000000-0004-0000-0B00-00003D000000}"/>
    <hyperlink ref="M100" r:id="rId63" xr:uid="{00000000-0004-0000-0B00-00003E000000}"/>
    <hyperlink ref="M101" r:id="rId64" xr:uid="{00000000-0004-0000-0B00-00003F000000}"/>
    <hyperlink ref="M102" r:id="rId65" xr:uid="{00000000-0004-0000-0B00-000040000000}"/>
    <hyperlink ref="M103" r:id="rId66" xr:uid="{00000000-0004-0000-0B00-000041000000}"/>
    <hyperlink ref="M104" r:id="rId67" xr:uid="{00000000-0004-0000-0B00-000042000000}"/>
    <hyperlink ref="M105" r:id="rId68" xr:uid="{00000000-0004-0000-0B00-000043000000}"/>
    <hyperlink ref="M108" r:id="rId69" xr:uid="{00000000-0004-0000-0B00-000044000000}"/>
    <hyperlink ref="M109" r:id="rId70" xr:uid="{00000000-0004-0000-0B00-000045000000}"/>
    <hyperlink ref="M110" r:id="rId71" xr:uid="{00000000-0004-0000-0B00-000046000000}"/>
    <hyperlink ref="M114" r:id="rId72" xr:uid="{00000000-0004-0000-0B00-000047000000}"/>
    <hyperlink ref="M115" r:id="rId73" xr:uid="{00000000-0004-0000-0B00-000048000000}"/>
    <hyperlink ref="M116" r:id="rId74" xr:uid="{00000000-0004-0000-0B00-000049000000}"/>
    <hyperlink ref="M112" r:id="rId75" xr:uid="{00000000-0004-0000-0B00-00004A000000}"/>
    <hyperlink ref="M117" r:id="rId76" xr:uid="{00000000-0004-0000-0B00-00004B000000}"/>
    <hyperlink ref="M111" r:id="rId77" xr:uid="{00000000-0004-0000-0B00-00004C000000}"/>
    <hyperlink ref="M113" r:id="rId78" xr:uid="{00000000-0004-0000-0B00-00004D000000}"/>
    <hyperlink ref="M118" r:id="rId79" xr:uid="{00000000-0004-0000-0B00-00004E000000}"/>
    <hyperlink ref="M119" r:id="rId80" xr:uid="{00000000-0004-0000-0B00-00004F000000}"/>
    <hyperlink ref="M120" r:id="rId81" xr:uid="{00000000-0004-0000-0B00-000050000000}"/>
    <hyperlink ref="M121" r:id="rId82" xr:uid="{00000000-0004-0000-0B00-000051000000}"/>
    <hyperlink ref="M122" r:id="rId83" xr:uid="{00000000-0004-0000-0B00-000052000000}"/>
    <hyperlink ref="M123" r:id="rId84" xr:uid="{00000000-0004-0000-0B00-000053000000}"/>
    <hyperlink ref="M124" r:id="rId85" xr:uid="{00000000-0004-0000-0B00-000054000000}"/>
    <hyperlink ref="M125" r:id="rId86" xr:uid="{00000000-0004-0000-0B00-000055000000}"/>
    <hyperlink ref="M126" r:id="rId87" xr:uid="{00000000-0004-0000-0B00-000056000000}"/>
    <hyperlink ref="M127" r:id="rId88" xr:uid="{00000000-0004-0000-0B00-000057000000}"/>
    <hyperlink ref="M129" r:id="rId89" xr:uid="{00000000-0004-0000-0B00-000058000000}"/>
    <hyperlink ref="M130" r:id="rId90" xr:uid="{00000000-0004-0000-0B00-000059000000}"/>
    <hyperlink ref="M135" r:id="rId91" xr:uid="{00000000-0004-0000-0B00-00005A000000}"/>
    <hyperlink ref="M136" r:id="rId92" xr:uid="{00000000-0004-0000-0B00-00005B000000}"/>
    <hyperlink ref="M137" r:id="rId93" xr:uid="{00000000-0004-0000-0B00-00005C000000}"/>
    <hyperlink ref="M138" r:id="rId94" xr:uid="{00000000-0004-0000-0B00-00005D000000}"/>
    <hyperlink ref="M128" r:id="rId95" xr:uid="{00000000-0004-0000-0B00-00005E000000}"/>
    <hyperlink ref="M131" r:id="rId96" xr:uid="{00000000-0004-0000-0B00-00005F000000}"/>
    <hyperlink ref="M132" r:id="rId97" xr:uid="{00000000-0004-0000-0B00-000060000000}"/>
    <hyperlink ref="M133" r:id="rId98" xr:uid="{00000000-0004-0000-0B00-000061000000}"/>
    <hyperlink ref="M134" r:id="rId99" xr:uid="{00000000-0004-0000-0B00-000062000000}"/>
    <hyperlink ref="M139" r:id="rId100" xr:uid="{00000000-0004-0000-0B00-000063000000}"/>
    <hyperlink ref="M140" r:id="rId101" xr:uid="{00000000-0004-0000-0B00-000064000000}"/>
    <hyperlink ref="M141" r:id="rId102" xr:uid="{00000000-0004-0000-0B00-000065000000}"/>
    <hyperlink ref="M146" r:id="rId103" xr:uid="{00000000-0004-0000-0B00-000066000000}"/>
    <hyperlink ref="M147" r:id="rId104" xr:uid="{00000000-0004-0000-0B00-000067000000}"/>
    <hyperlink ref="M148" r:id="rId105" xr:uid="{00000000-0004-0000-0B00-000068000000}"/>
    <hyperlink ref="M149" r:id="rId106" xr:uid="{00000000-0004-0000-0B00-000069000000}"/>
    <hyperlink ref="M145" r:id="rId107" xr:uid="{00000000-0004-0000-0B00-00006A000000}"/>
    <hyperlink ref="M32" r:id="rId108" xr:uid="{00000000-0004-0000-0B00-00006B000000}"/>
    <hyperlink ref="M43" r:id="rId109" xr:uid="{00000000-0004-0000-0B00-00006C000000}"/>
    <hyperlink ref="M42" r:id="rId110" xr:uid="{00000000-0004-0000-0B00-00006D000000}"/>
    <hyperlink ref="M41" r:id="rId111" xr:uid="{00000000-0004-0000-0B00-00006E000000}"/>
    <hyperlink ref="M40" r:id="rId112" xr:uid="{00000000-0004-0000-0B00-00006F000000}"/>
    <hyperlink ref="M39" r:id="rId113" xr:uid="{00000000-0004-0000-0B00-000070000000}"/>
    <hyperlink ref="M38" r:id="rId114" xr:uid="{00000000-0004-0000-0B00-000071000000}"/>
    <hyperlink ref="M37" r:id="rId115" xr:uid="{00000000-0004-0000-0B00-000072000000}"/>
    <hyperlink ref="M36" r:id="rId116" xr:uid="{00000000-0004-0000-0B00-000073000000}"/>
    <hyperlink ref="M35" r:id="rId117" xr:uid="{00000000-0004-0000-0B00-000074000000}"/>
    <hyperlink ref="M34" r:id="rId118" xr:uid="{00000000-0004-0000-0B00-000075000000}"/>
    <hyperlink ref="M33" r:id="rId119" xr:uid="{00000000-0004-0000-0B00-000076000000}"/>
    <hyperlink ref="M31" r:id="rId120" xr:uid="{00000000-0004-0000-0B00-000077000000}"/>
    <hyperlink ref="M30" r:id="rId121" xr:uid="{00000000-0004-0000-0B00-000078000000}"/>
    <hyperlink ref="M29" r:id="rId122" xr:uid="{00000000-0004-0000-0B00-000079000000}"/>
    <hyperlink ref="M28" r:id="rId123" xr:uid="{00000000-0004-0000-0B00-00007A000000}"/>
    <hyperlink ref="M27" r:id="rId124" xr:uid="{00000000-0004-0000-0B00-00007B000000}"/>
    <hyperlink ref="M26" r:id="rId125" xr:uid="{00000000-0004-0000-0B00-00007C000000}"/>
    <hyperlink ref="M25" r:id="rId126" xr:uid="{00000000-0004-0000-0B00-00007D000000}"/>
    <hyperlink ref="M150" r:id="rId127" xr:uid="{00000000-0004-0000-0B00-00007E000000}"/>
    <hyperlink ref="M151" r:id="rId128" xr:uid="{00000000-0004-0000-0B00-00007F000000}"/>
    <hyperlink ref="M152" r:id="rId129" xr:uid="{00000000-0004-0000-0B00-000080000000}"/>
    <hyperlink ref="M153" r:id="rId130" xr:uid="{00000000-0004-0000-0B00-000081000000}"/>
    <hyperlink ref="M154" r:id="rId131" xr:uid="{00000000-0004-0000-0B00-000082000000}"/>
    <hyperlink ref="M142" r:id="rId132" xr:uid="{00000000-0004-0000-0B00-000083000000}"/>
    <hyperlink ref="M143" r:id="rId133" xr:uid="{00000000-0004-0000-0B00-000084000000}"/>
    <hyperlink ref="M144" r:id="rId134" xr:uid="{00000000-0004-0000-0B00-000085000000}"/>
    <hyperlink ref="M155" r:id="rId135" xr:uid="{00000000-0004-0000-0B00-000086000000}"/>
    <hyperlink ref="M156" r:id="rId136" xr:uid="{00000000-0004-0000-0B00-000087000000}"/>
    <hyperlink ref="M157" r:id="rId137" xr:uid="{00000000-0004-0000-0B00-000088000000}"/>
    <hyperlink ref="M158" r:id="rId138" xr:uid="{00000000-0004-0000-0B00-000089000000}"/>
    <hyperlink ref="M159" r:id="rId139" xr:uid="{00000000-0004-0000-0B00-00008A000000}"/>
    <hyperlink ref="M161" r:id="rId140" xr:uid="{00000000-0004-0000-0B00-00008B000000}"/>
    <hyperlink ref="M165" r:id="rId141" xr:uid="{00000000-0004-0000-0B00-00008C000000}"/>
    <hyperlink ref="M166" r:id="rId142" xr:uid="{00000000-0004-0000-0B00-00008D000000}"/>
    <hyperlink ref="M164" r:id="rId143" xr:uid="{00000000-0004-0000-0B00-00008E000000}"/>
    <hyperlink ref="M162" r:id="rId144" xr:uid="{00000000-0004-0000-0B00-00008F000000}"/>
    <hyperlink ref="M163" r:id="rId145" xr:uid="{00000000-0004-0000-0B00-000090000000}"/>
    <hyperlink ref="M168" r:id="rId146" xr:uid="{00000000-0004-0000-0B00-000091000000}"/>
    <hyperlink ref="M169" r:id="rId147" xr:uid="{00000000-0004-0000-0B00-000092000000}"/>
    <hyperlink ref="M170" r:id="rId148" xr:uid="{00000000-0004-0000-0B00-000093000000}"/>
    <hyperlink ref="M171" r:id="rId149" xr:uid="{00000000-0004-0000-0B00-000094000000}"/>
    <hyperlink ref="M172" r:id="rId150" xr:uid="{00000000-0004-0000-0B00-000095000000}"/>
    <hyperlink ref="M173" r:id="rId151" xr:uid="{00000000-0004-0000-0B00-000096000000}"/>
    <hyperlink ref="M174" r:id="rId152" xr:uid="{00000000-0004-0000-0B00-000097000000}"/>
    <hyperlink ref="M175" r:id="rId153" xr:uid="{00000000-0004-0000-0B00-000098000000}"/>
    <hyperlink ref="M176" r:id="rId154" xr:uid="{00000000-0004-0000-0B00-000099000000}"/>
    <hyperlink ref="M177" r:id="rId155" xr:uid="{00000000-0004-0000-0B00-00009A000000}"/>
    <hyperlink ref="M178" r:id="rId156" xr:uid="{00000000-0004-0000-0B00-00009B000000}"/>
    <hyperlink ref="M179" r:id="rId157" xr:uid="{00000000-0004-0000-0B00-00009C000000}"/>
    <hyperlink ref="M181" r:id="rId158" xr:uid="{00000000-0004-0000-0B00-00009D000000}"/>
    <hyperlink ref="M182" r:id="rId159" xr:uid="{00000000-0004-0000-0B00-00009E000000}"/>
    <hyperlink ref="M184" r:id="rId160" xr:uid="{00000000-0004-0000-0B00-00009F000000}"/>
    <hyperlink ref="M185" r:id="rId161" xr:uid="{00000000-0004-0000-0B00-0000A0000000}"/>
    <hyperlink ref="M186" r:id="rId162" xr:uid="{00000000-0004-0000-0B00-0000A1000000}"/>
    <hyperlink ref="M187" r:id="rId163" xr:uid="{00000000-0004-0000-0B00-0000A2000000}"/>
    <hyperlink ref="M188" r:id="rId164" xr:uid="{00000000-0004-0000-0B00-0000A3000000}"/>
    <hyperlink ref="M189" r:id="rId165" xr:uid="{00000000-0004-0000-0B00-0000A4000000}"/>
    <hyperlink ref="M180" r:id="rId166" xr:uid="{00000000-0004-0000-0B00-0000A5000000}"/>
    <hyperlink ref="M183" r:id="rId167" xr:uid="{00000000-0004-0000-0B00-0000A6000000}"/>
    <hyperlink ref="M191" r:id="rId168" xr:uid="{00000000-0004-0000-0B00-0000A7000000}"/>
    <hyperlink ref="M192" r:id="rId169" xr:uid="{00000000-0004-0000-0B00-0000A8000000}"/>
    <hyperlink ref="M194" r:id="rId170" xr:uid="{00000000-0004-0000-0B00-0000A9000000}"/>
    <hyperlink ref="M195" r:id="rId171" xr:uid="{00000000-0004-0000-0B00-0000AA000000}"/>
    <hyperlink ref="M196" r:id="rId172" xr:uid="{00000000-0004-0000-0B00-0000AB000000}"/>
    <hyperlink ref="M197" r:id="rId173" xr:uid="{00000000-0004-0000-0B00-0000AC000000}"/>
    <hyperlink ref="M190" r:id="rId174" xr:uid="{00000000-0004-0000-0B00-0000AD000000}"/>
    <hyperlink ref="M193" r:id="rId175" xr:uid="{00000000-0004-0000-0B00-0000AE000000}"/>
    <hyperlink ref="M198" r:id="rId176" xr:uid="{00000000-0004-0000-0B00-0000AF000000}"/>
    <hyperlink ref="M199" r:id="rId177" xr:uid="{00000000-0004-0000-0B00-0000B0000000}"/>
    <hyperlink ref="M200" r:id="rId178" xr:uid="{00000000-0004-0000-0B00-0000B1000000}"/>
    <hyperlink ref="M201" r:id="rId179" xr:uid="{00000000-0004-0000-0B00-0000B2000000}"/>
    <hyperlink ref="M203" r:id="rId180" xr:uid="{00000000-0004-0000-0B00-0000B3000000}"/>
    <hyperlink ref="M204" r:id="rId181" xr:uid="{00000000-0004-0000-0B00-0000B4000000}"/>
    <hyperlink ref="M205" r:id="rId182" xr:uid="{00000000-0004-0000-0B00-0000B5000000}"/>
    <hyperlink ref="M206" r:id="rId183" xr:uid="{00000000-0004-0000-0B00-0000B6000000}"/>
    <hyperlink ref="M207" r:id="rId184" xr:uid="{00000000-0004-0000-0B00-0000B7000000}"/>
    <hyperlink ref="M202" r:id="rId185" xr:uid="{00000000-0004-0000-0B00-0000B8000000}"/>
    <hyperlink ref="M209" r:id="rId186" xr:uid="{00000000-0004-0000-0B00-0000B9000000}"/>
    <hyperlink ref="M210" r:id="rId187" xr:uid="{00000000-0004-0000-0B00-0000BA000000}"/>
    <hyperlink ref="M211" r:id="rId188" xr:uid="{00000000-0004-0000-0B00-0000BB000000}"/>
    <hyperlink ref="M208" r:id="rId189" xr:uid="{00000000-0004-0000-0B00-0000BC000000}"/>
    <hyperlink ref="M212" r:id="rId190" xr:uid="{00000000-0004-0000-0B00-0000BD000000}"/>
    <hyperlink ref="M213" r:id="rId191" xr:uid="{00000000-0004-0000-0B00-0000BE000000}"/>
    <hyperlink ref="M214" r:id="rId192" xr:uid="{00000000-0004-0000-0B00-0000BF000000}"/>
    <hyperlink ref="M215" r:id="rId193" xr:uid="{00000000-0004-0000-0B00-0000C0000000}"/>
    <hyperlink ref="M216" r:id="rId194" xr:uid="{00000000-0004-0000-0B00-0000C1000000}"/>
    <hyperlink ref="M217" r:id="rId195" xr:uid="{00000000-0004-0000-0B00-0000C2000000}"/>
    <hyperlink ref="M218" r:id="rId196" xr:uid="{00000000-0004-0000-0B00-0000C3000000}"/>
    <hyperlink ref="M219" r:id="rId197" xr:uid="{00000000-0004-0000-0B00-0000C4000000}"/>
    <hyperlink ref="M220" r:id="rId198" xr:uid="{00000000-0004-0000-0B00-0000C5000000}"/>
    <hyperlink ref="M221" r:id="rId199" xr:uid="{00000000-0004-0000-0B00-0000C6000000}"/>
    <hyperlink ref="M222" r:id="rId200" xr:uid="{00000000-0004-0000-0B00-0000C7000000}"/>
    <hyperlink ref="M223" r:id="rId201" xr:uid="{00000000-0004-0000-0B00-0000C8000000}"/>
    <hyperlink ref="M224" r:id="rId202" xr:uid="{00000000-0004-0000-0B00-0000C9000000}"/>
    <hyperlink ref="M225" r:id="rId203" xr:uid="{00000000-0004-0000-0B00-0000CA000000}"/>
    <hyperlink ref="M226" r:id="rId204" xr:uid="{00000000-0004-0000-0B00-0000CB000000}"/>
    <hyperlink ref="M227" r:id="rId205" xr:uid="{00000000-0004-0000-0B00-0000CC000000}"/>
    <hyperlink ref="M228" r:id="rId206" xr:uid="{00000000-0004-0000-0B00-0000CD000000}"/>
    <hyperlink ref="M229" r:id="rId207" xr:uid="{00000000-0004-0000-0B00-0000CE000000}"/>
    <hyperlink ref="M230" r:id="rId208" xr:uid="{00000000-0004-0000-0B00-0000CF000000}"/>
    <hyperlink ref="M231" r:id="rId209" xr:uid="{00000000-0004-0000-0B00-0000D0000000}"/>
    <hyperlink ref="M232" r:id="rId210" xr:uid="{00000000-0004-0000-0B00-0000D1000000}"/>
    <hyperlink ref="M233" r:id="rId211" xr:uid="{00000000-0004-0000-0B00-0000D2000000}"/>
    <hyperlink ref="M234" r:id="rId212" xr:uid="{00000000-0004-0000-0B00-0000D3000000}"/>
    <hyperlink ref="M235" r:id="rId213" xr:uid="{00000000-0004-0000-0B00-0000D4000000}"/>
    <hyperlink ref="M236" r:id="rId214" xr:uid="{00000000-0004-0000-0B00-0000D5000000}"/>
    <hyperlink ref="M237" r:id="rId215" xr:uid="{00000000-0004-0000-0B00-0000D6000000}"/>
    <hyperlink ref="M238" r:id="rId216" xr:uid="{00000000-0004-0000-0B00-0000D7000000}"/>
    <hyperlink ref="M239" r:id="rId217" xr:uid="{00000000-0004-0000-0B00-0000D8000000}"/>
    <hyperlink ref="M240" r:id="rId218" xr:uid="{00000000-0004-0000-0B00-0000D9000000}"/>
    <hyperlink ref="M241" r:id="rId219" xr:uid="{00000000-0004-0000-0B00-0000DA000000}"/>
    <hyperlink ref="M242" r:id="rId220" xr:uid="{00000000-0004-0000-0B00-0000DB000000}"/>
    <hyperlink ref="M243" r:id="rId221" xr:uid="{00000000-0004-0000-0B00-0000DC000000}"/>
    <hyperlink ref="M244" r:id="rId222" xr:uid="{00000000-0004-0000-0B00-0000DD000000}"/>
    <hyperlink ref="M245" r:id="rId223" xr:uid="{00000000-0004-0000-0B00-0000DE000000}"/>
    <hyperlink ref="M246" r:id="rId224" xr:uid="{00000000-0004-0000-0B00-0000DF000000}"/>
    <hyperlink ref="M247" r:id="rId225" xr:uid="{00000000-0004-0000-0B00-0000E0000000}"/>
    <hyperlink ref="M248" r:id="rId226" xr:uid="{00000000-0004-0000-0B00-0000E1000000}"/>
    <hyperlink ref="M249" r:id="rId227" xr:uid="{00000000-0004-0000-0B00-0000E2000000}"/>
    <hyperlink ref="M250" r:id="rId228" xr:uid="{00000000-0004-0000-0B00-0000E3000000}"/>
    <hyperlink ref="M251" r:id="rId229" xr:uid="{00000000-0004-0000-0B00-0000E4000000}"/>
    <hyperlink ref="M252" r:id="rId230" xr:uid="{00000000-0004-0000-0B00-0000E5000000}"/>
    <hyperlink ref="M253" r:id="rId231" xr:uid="{00000000-0004-0000-0B00-0000E6000000}"/>
    <hyperlink ref="M254" r:id="rId232" xr:uid="{00000000-0004-0000-0B00-0000E7000000}"/>
    <hyperlink ref="M255" r:id="rId233" xr:uid="{00000000-0004-0000-0B00-0000E8000000}"/>
    <hyperlink ref="M256" r:id="rId234" xr:uid="{00000000-0004-0000-0B00-0000E9000000}"/>
    <hyperlink ref="M257" r:id="rId235" xr:uid="{00000000-0004-0000-0B00-0000EA000000}"/>
    <hyperlink ref="M258" r:id="rId236" xr:uid="{00000000-0004-0000-0B00-0000EB000000}"/>
    <hyperlink ref="M259" r:id="rId237" xr:uid="{00000000-0004-0000-0B00-0000EC000000}"/>
    <hyperlink ref="M260" r:id="rId238" xr:uid="{00000000-0004-0000-0B00-0000ED000000}"/>
    <hyperlink ref="M261" r:id="rId239" xr:uid="{00000000-0004-0000-0B00-0000EE000000}"/>
    <hyperlink ref="M262" r:id="rId240" xr:uid="{00000000-0004-0000-0B00-0000EF000000}"/>
    <hyperlink ref="M263" r:id="rId241" xr:uid="{00000000-0004-0000-0B00-0000F0000000}"/>
    <hyperlink ref="M264" r:id="rId242" xr:uid="{00000000-0004-0000-0B00-0000F1000000}"/>
    <hyperlink ref="M265" r:id="rId243" xr:uid="{00000000-0004-0000-0B00-0000F2000000}"/>
    <hyperlink ref="M266" r:id="rId244" xr:uid="{00000000-0004-0000-0B00-0000F3000000}"/>
    <hyperlink ref="M267" r:id="rId245" xr:uid="{00000000-0004-0000-0B00-0000F4000000}"/>
    <hyperlink ref="M268" r:id="rId246" xr:uid="{00000000-0004-0000-0B00-0000F5000000}"/>
    <hyperlink ref="M269" r:id="rId247" xr:uid="{00000000-0004-0000-0B00-0000F6000000}"/>
    <hyperlink ref="M270" r:id="rId248" xr:uid="{00000000-0004-0000-0B00-0000F7000000}"/>
    <hyperlink ref="M272" r:id="rId249" xr:uid="{00000000-0004-0000-0B00-0000F8000000}"/>
    <hyperlink ref="M273" r:id="rId250" xr:uid="{00000000-0004-0000-0B00-0000F9000000}"/>
    <hyperlink ref="M274" r:id="rId251" xr:uid="{00000000-0004-0000-0B00-0000FA000000}"/>
    <hyperlink ref="M271" r:id="rId252" xr:uid="{00000000-0004-0000-0B00-0000FB000000}"/>
    <hyperlink ref="M275" r:id="rId253" xr:uid="{00000000-0004-0000-0B00-0000FC000000}"/>
    <hyperlink ref="M276" r:id="rId254" xr:uid="{00000000-0004-0000-0B00-0000FD000000}"/>
    <hyperlink ref="M277" r:id="rId255" xr:uid="{00000000-0004-0000-0B00-0000FE000000}"/>
    <hyperlink ref="M278" r:id="rId256" xr:uid="{00000000-0004-0000-0B00-0000FF000000}"/>
    <hyperlink ref="M279" r:id="rId257" xr:uid="{00000000-0004-0000-0B00-000000010000}"/>
    <hyperlink ref="M280" r:id="rId258" xr:uid="{00000000-0004-0000-0B00-000001010000}"/>
    <hyperlink ref="M281" r:id="rId259" xr:uid="{00000000-0004-0000-0B00-000002010000}"/>
    <hyperlink ref="M282" r:id="rId260" xr:uid="{00000000-0004-0000-0B00-000003010000}"/>
    <hyperlink ref="M283" r:id="rId261" xr:uid="{00000000-0004-0000-0B00-000004010000}"/>
    <hyperlink ref="M284" r:id="rId262" xr:uid="{00000000-0004-0000-0B00-000005010000}"/>
    <hyperlink ref="M285" r:id="rId263" xr:uid="{00000000-0004-0000-0B00-000006010000}"/>
    <hyperlink ref="M286" r:id="rId264" xr:uid="{00000000-0004-0000-0B00-000007010000}"/>
    <hyperlink ref="M288" r:id="rId265" xr:uid="{00000000-0004-0000-0B00-000008010000}"/>
    <hyperlink ref="M289" r:id="rId266" xr:uid="{00000000-0004-0000-0B00-000009010000}"/>
    <hyperlink ref="M287" r:id="rId267" xr:uid="{00000000-0004-0000-0B00-00000A010000}"/>
    <hyperlink ref="M290" r:id="rId268" xr:uid="{00000000-0004-0000-0B00-00000B010000}"/>
    <hyperlink ref="M291" r:id="rId269" xr:uid="{00000000-0004-0000-0B00-00000C010000}"/>
    <hyperlink ref="M24" r:id="rId270" xr:uid="{00000000-0004-0000-0B00-00000D010000}"/>
    <hyperlink ref="M23" r:id="rId271" xr:uid="{00000000-0004-0000-0B00-00000E010000}"/>
    <hyperlink ref="M22" r:id="rId272" xr:uid="{00000000-0004-0000-0B00-00000F010000}"/>
    <hyperlink ref="M21" r:id="rId273" xr:uid="{00000000-0004-0000-0B00-000010010000}"/>
    <hyperlink ref="M20" r:id="rId274" xr:uid="{00000000-0004-0000-0B00-000011010000}"/>
    <hyperlink ref="M19" r:id="rId275" xr:uid="{00000000-0004-0000-0B00-000012010000}"/>
    <hyperlink ref="M18" r:id="rId276" xr:uid="{00000000-0004-0000-0B00-000013010000}"/>
    <hyperlink ref="M17" r:id="rId277" xr:uid="{00000000-0004-0000-0B00-000014010000}"/>
    <hyperlink ref="M13" r:id="rId278" xr:uid="{00000000-0004-0000-0B00-000015010000}"/>
    <hyperlink ref="M16" r:id="rId279" xr:uid="{00000000-0004-0000-0B00-000016010000}"/>
    <hyperlink ref="M15" r:id="rId280" xr:uid="{00000000-0004-0000-0B00-000017010000}"/>
    <hyperlink ref="M14" r:id="rId281" xr:uid="{00000000-0004-0000-0B00-000018010000}"/>
    <hyperlink ref="M12" r:id="rId282" xr:uid="{00000000-0004-0000-0B00-000019010000}"/>
    <hyperlink ref="M7" r:id="rId283" xr:uid="{00000000-0004-0000-0B00-00001A010000}"/>
    <hyperlink ref="M8" r:id="rId284" xr:uid="{00000000-0004-0000-0B00-00001B010000}"/>
    <hyperlink ref="M9" r:id="rId285" xr:uid="{00000000-0004-0000-0B00-00001C010000}"/>
    <hyperlink ref="M10" r:id="rId286" xr:uid="{00000000-0004-0000-0B00-00001D010000}"/>
    <hyperlink ref="M11" r:id="rId287" xr:uid="{00000000-0004-0000-0B00-00001E010000}"/>
  </hyperlinks>
  <pageMargins left="0.7" right="0.7" top="0.75" bottom="0.75" header="0.3" footer="0.3"/>
  <pageSetup paperSize="9" orientation="portrait" horizontalDpi="1200" verticalDpi="1200" r:id="rId288"/>
  <drawing r:id="rId289"/>
</worksheet>
</file>

<file path=docMetadata/LabelInfo.xml><?xml version="1.0" encoding="utf-8"?>
<clbl:labelList xmlns:clbl="http://schemas.microsoft.com/office/2020/mipLabelMetadata">
  <clbl:label id="{df7f7579-3e9c-4a7e-b844-420280f53859}" enabled="0" method="" siteId="{df7f7579-3e9c-4a7e-b844-420280f5385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Frontpage</vt:lpstr>
      <vt:lpstr>Green+Social Interface</vt:lpstr>
      <vt:lpstr>Summary graphs</vt:lpstr>
      <vt:lpstr>Summary benefits</vt:lpstr>
      <vt:lpstr>Social Infrastructure</vt:lpstr>
      <vt:lpstr>Green Infrastructure</vt:lpstr>
      <vt:lpstr>Energy and carbon</vt:lpstr>
      <vt:lpstr>Pivot table</vt:lpstr>
      <vt:lpstr>Look-ups</vt:lpstr>
      <vt:lpstr>Look-ups_2</vt:lpstr>
      <vt:lpstr>EPiC</vt:lpstr>
    </vt:vector>
  </TitlesOfParts>
  <Company>Swinburne University of Technology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Andi Nygaard</dc:creator>
  <cp:lastModifiedBy>Christian-Anders Nygaard</cp:lastModifiedBy>
  <dcterms:created xsi:type="dcterms:W3CDTF">2022-05-10T00:37:36Z</dcterms:created>
  <dcterms:modified xsi:type="dcterms:W3CDTF">2025-03-03T23:04:23Z</dcterms:modified>
</cp:coreProperties>
</file>